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_HanhChinh\NAM HOC 2016-2017\BAO CAO CONG KHAI\NH 2018-2019\"/>
    </mc:Choice>
  </mc:AlternateContent>
  <bookViews>
    <workbookView xWindow="0" yWindow="0" windowWidth="24000" windowHeight="9030" activeTab="1"/>
  </bookViews>
  <sheets>
    <sheet name="4 2018" sheetId="1" r:id="rId1"/>
    <sheet name="1 2019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17" i="1" l="1"/>
  <c r="I119" i="1"/>
  <c r="I118" i="1"/>
  <c r="I116" i="1"/>
  <c r="J119" i="1"/>
  <c r="J118" i="1"/>
  <c r="J117" i="1"/>
  <c r="J116" i="1"/>
  <c r="J114" i="1" s="1"/>
  <c r="H141" i="1"/>
  <c r="H131" i="1"/>
  <c r="H130" i="1" s="1"/>
  <c r="H127" i="1"/>
  <c r="H121" i="1"/>
  <c r="H114" i="1"/>
  <c r="H112" i="1"/>
  <c r="H109" i="1"/>
  <c r="H105" i="1"/>
  <c r="H103" i="1"/>
  <c r="H91" i="1"/>
  <c r="H90" i="1" s="1"/>
  <c r="H81" i="1"/>
  <c r="H78" i="1"/>
  <c r="H77" i="1"/>
  <c r="H72" i="1" s="1"/>
  <c r="H68" i="1"/>
  <c r="H62" i="1"/>
  <c r="H58" i="1"/>
  <c r="H53" i="1"/>
  <c r="H49" i="1"/>
  <c r="H44" i="1"/>
  <c r="H41" i="1"/>
  <c r="H36" i="1"/>
  <c r="H33" i="1"/>
  <c r="H23" i="1"/>
  <c r="H21" i="1"/>
  <c r="H17" i="1"/>
  <c r="E34" i="2"/>
  <c r="F32" i="2"/>
  <c r="F34" i="2"/>
  <c r="H116" i="2"/>
  <c r="H114" i="2" s="1"/>
  <c r="I118" i="2"/>
  <c r="I120" i="2"/>
  <c r="I116" i="2"/>
  <c r="I117" i="2"/>
  <c r="H142" i="2"/>
  <c r="H132" i="2"/>
  <c r="H131" i="2" s="1"/>
  <c r="H128" i="2"/>
  <c r="H122" i="2"/>
  <c r="H121" i="2" s="1"/>
  <c r="H120" i="2"/>
  <c r="H118" i="2"/>
  <c r="H117" i="2"/>
  <c r="H112" i="2"/>
  <c r="H109" i="2"/>
  <c r="H105" i="2"/>
  <c r="H103" i="2"/>
  <c r="H102" i="2" s="1"/>
  <c r="H97" i="2" s="1"/>
  <c r="H91" i="2"/>
  <c r="H90" i="2" s="1"/>
  <c r="H81" i="2"/>
  <c r="H78" i="2"/>
  <c r="H72" i="2"/>
  <c r="H68" i="2"/>
  <c r="H66" i="2"/>
  <c r="H62" i="2" s="1"/>
  <c r="H58" i="2"/>
  <c r="H57" i="2"/>
  <c r="H53" i="2" s="1"/>
  <c r="H50" i="2"/>
  <c r="H49" i="2" s="1"/>
  <c r="H45" i="2"/>
  <c r="H44" i="2" s="1"/>
  <c r="H41" i="2"/>
  <c r="H36" i="2"/>
  <c r="H35" i="2"/>
  <c r="H33" i="2" s="1"/>
  <c r="H29" i="2"/>
  <c r="H28" i="2"/>
  <c r="H25" i="2"/>
  <c r="H24" i="2"/>
  <c r="H21" i="2"/>
  <c r="H19" i="2"/>
  <c r="H18" i="2"/>
  <c r="C120" i="2"/>
  <c r="C118" i="2"/>
  <c r="C117" i="2"/>
  <c r="F35" i="2" l="1"/>
  <c r="H23" i="2"/>
  <c r="H17" i="2"/>
  <c r="H102" i="1"/>
  <c r="H97" i="1" s="1"/>
  <c r="H108" i="1"/>
  <c r="H120" i="1"/>
  <c r="H16" i="1"/>
  <c r="H43" i="1"/>
  <c r="H107" i="1"/>
  <c r="H16" i="2"/>
  <c r="F116" i="2"/>
  <c r="H108" i="2"/>
  <c r="H107" i="2" s="1"/>
  <c r="H43" i="2"/>
  <c r="H15" i="2" s="1"/>
  <c r="C112" i="2"/>
  <c r="C66" i="2"/>
  <c r="C57" i="2"/>
  <c r="C50" i="2"/>
  <c r="C45" i="2"/>
  <c r="C41" i="2"/>
  <c r="H15" i="1" l="1"/>
  <c r="H14" i="1" s="1"/>
  <c r="H14" i="2"/>
  <c r="C35" i="2"/>
  <c r="C33" i="2" s="1"/>
  <c r="C28" i="2"/>
  <c r="C29" i="2"/>
  <c r="C25" i="2"/>
  <c r="C24" i="2"/>
  <c r="C19" i="2"/>
  <c r="C18" i="2"/>
  <c r="D40" i="2" l="1"/>
  <c r="D39" i="2"/>
  <c r="D38" i="2"/>
  <c r="D37" i="2"/>
  <c r="D31" i="2"/>
  <c r="D29" i="2"/>
  <c r="D28" i="2"/>
  <c r="D25" i="2"/>
  <c r="D24" i="2"/>
  <c r="D19" i="2"/>
  <c r="D18" i="2"/>
  <c r="D118" i="2"/>
  <c r="E118" i="2" l="1"/>
  <c r="I142" i="2"/>
  <c r="D142" i="2"/>
  <c r="C142" i="2"/>
  <c r="I140" i="2"/>
  <c r="I132" i="2"/>
  <c r="C132" i="2"/>
  <c r="C131" i="2" s="1"/>
  <c r="I128" i="2"/>
  <c r="D128" i="2"/>
  <c r="C128" i="2"/>
  <c r="I125" i="2"/>
  <c r="D125" i="2"/>
  <c r="I122" i="2"/>
  <c r="F122" i="2" s="1"/>
  <c r="D122" i="2"/>
  <c r="E122" i="2" s="1"/>
  <c r="C122" i="2"/>
  <c r="F120" i="2"/>
  <c r="D120" i="2"/>
  <c r="E120" i="2" s="1"/>
  <c r="F119" i="2"/>
  <c r="E119" i="2"/>
  <c r="D119" i="2"/>
  <c r="F118" i="2"/>
  <c r="F117" i="2"/>
  <c r="D117" i="2"/>
  <c r="E117" i="2" s="1"/>
  <c r="I114" i="2"/>
  <c r="F114" i="2" s="1"/>
  <c r="C114" i="2"/>
  <c r="I112" i="2"/>
  <c r="D112" i="2"/>
  <c r="I109" i="2"/>
  <c r="D109" i="2"/>
  <c r="C109" i="2"/>
  <c r="I105" i="2"/>
  <c r="D105" i="2"/>
  <c r="C105" i="2"/>
  <c r="I103" i="2"/>
  <c r="D103" i="2"/>
  <c r="C103" i="2"/>
  <c r="C102" i="2" s="1"/>
  <c r="C97" i="2" s="1"/>
  <c r="I91" i="2"/>
  <c r="I90" i="2" s="1"/>
  <c r="F90" i="2" s="1"/>
  <c r="D91" i="2"/>
  <c r="C91" i="2"/>
  <c r="C90" i="2" s="1"/>
  <c r="E86" i="2"/>
  <c r="F82" i="2"/>
  <c r="E82" i="2"/>
  <c r="I81" i="2"/>
  <c r="F81" i="2" s="1"/>
  <c r="D81" i="2"/>
  <c r="C81" i="2"/>
  <c r="D78" i="2"/>
  <c r="C78" i="2"/>
  <c r="C72" i="2"/>
  <c r="F76" i="2"/>
  <c r="E76" i="2"/>
  <c r="E75" i="2"/>
  <c r="F74" i="2"/>
  <c r="E74" i="2"/>
  <c r="F73" i="2"/>
  <c r="E73" i="2"/>
  <c r="I72" i="2"/>
  <c r="F72" i="2" s="1"/>
  <c r="D72" i="2"/>
  <c r="E69" i="2"/>
  <c r="I68" i="2"/>
  <c r="F68" i="2" s="1"/>
  <c r="D68" i="2"/>
  <c r="C68" i="2"/>
  <c r="F66" i="2"/>
  <c r="E66" i="2"/>
  <c r="F65" i="2"/>
  <c r="E65" i="2"/>
  <c r="F64" i="2"/>
  <c r="E64" i="2"/>
  <c r="F63" i="2"/>
  <c r="E63" i="2"/>
  <c r="I62" i="2"/>
  <c r="F62" i="2" s="1"/>
  <c r="D62" i="2"/>
  <c r="C62" i="2"/>
  <c r="I58" i="2"/>
  <c r="D58" i="2"/>
  <c r="C58" i="2"/>
  <c r="E57" i="2"/>
  <c r="E55" i="2"/>
  <c r="F54" i="2"/>
  <c r="E54" i="2"/>
  <c r="I53" i="2"/>
  <c r="F53" i="2" s="1"/>
  <c r="D53" i="2"/>
  <c r="C53" i="2"/>
  <c r="F52" i="2"/>
  <c r="E52" i="2"/>
  <c r="F51" i="2"/>
  <c r="E51" i="2"/>
  <c r="F50" i="2"/>
  <c r="E50" i="2"/>
  <c r="I49" i="2"/>
  <c r="F49" i="2" s="1"/>
  <c r="D49" i="2"/>
  <c r="E49" i="2" s="1"/>
  <c r="C49" i="2"/>
  <c r="F48" i="2"/>
  <c r="E48" i="2"/>
  <c r="F46" i="2"/>
  <c r="E46" i="2"/>
  <c r="F45" i="2"/>
  <c r="E45" i="2"/>
  <c r="I44" i="2"/>
  <c r="F44" i="2" s="1"/>
  <c r="D44" i="2"/>
  <c r="C44" i="2"/>
  <c r="E42" i="2"/>
  <c r="D41" i="2"/>
  <c r="E41" i="2" s="1"/>
  <c r="F40" i="2"/>
  <c r="E40" i="2"/>
  <c r="F39" i="2"/>
  <c r="E39" i="2"/>
  <c r="F38" i="2"/>
  <c r="E38" i="2"/>
  <c r="F37" i="2"/>
  <c r="E37" i="2"/>
  <c r="I36" i="2"/>
  <c r="F36" i="2" s="1"/>
  <c r="D36" i="2"/>
  <c r="C36" i="2"/>
  <c r="E35" i="2"/>
  <c r="I33" i="2"/>
  <c r="F33" i="2" s="1"/>
  <c r="D33" i="2"/>
  <c r="E33" i="2" s="1"/>
  <c r="F31" i="2"/>
  <c r="E31" i="2"/>
  <c r="F29" i="2"/>
  <c r="E29" i="2"/>
  <c r="F28" i="2"/>
  <c r="E28" i="2"/>
  <c r="F25" i="2"/>
  <c r="E25" i="2"/>
  <c r="F24" i="2"/>
  <c r="E24" i="2"/>
  <c r="I23" i="2"/>
  <c r="F23" i="2" s="1"/>
  <c r="D23" i="2"/>
  <c r="C23" i="2"/>
  <c r="I21" i="2"/>
  <c r="D21" i="2"/>
  <c r="C21" i="2"/>
  <c r="F19" i="2"/>
  <c r="E19" i="2"/>
  <c r="F18" i="2"/>
  <c r="E18" i="2"/>
  <c r="I17" i="2"/>
  <c r="F17" i="2" s="1"/>
  <c r="D17" i="2"/>
  <c r="C17" i="2"/>
  <c r="C77" i="1"/>
  <c r="D135" i="1"/>
  <c r="D124" i="1"/>
  <c r="F125" i="1"/>
  <c r="E125" i="1"/>
  <c r="D117" i="1"/>
  <c r="I102" i="2" l="1"/>
  <c r="I97" i="2" s="1"/>
  <c r="E44" i="2"/>
  <c r="D102" i="2"/>
  <c r="D97" i="2" s="1"/>
  <c r="D90" i="2" s="1"/>
  <c r="E17" i="2"/>
  <c r="C121" i="2"/>
  <c r="I131" i="2"/>
  <c r="F131" i="2" s="1"/>
  <c r="I108" i="2"/>
  <c r="F108" i="2" s="1"/>
  <c r="C108" i="2"/>
  <c r="C107" i="2" s="1"/>
  <c r="E91" i="2"/>
  <c r="E62" i="2"/>
  <c r="E36" i="2"/>
  <c r="E23" i="2"/>
  <c r="E81" i="2"/>
  <c r="E68" i="2"/>
  <c r="E53" i="2"/>
  <c r="C43" i="2"/>
  <c r="C16" i="2"/>
  <c r="E90" i="2"/>
  <c r="E72" i="2"/>
  <c r="F91" i="2"/>
  <c r="F132" i="2"/>
  <c r="D16" i="2"/>
  <c r="I16" i="2"/>
  <c r="D43" i="2"/>
  <c r="I43" i="2"/>
  <c r="F43" i="2" s="1"/>
  <c r="D114" i="2"/>
  <c r="D121" i="2"/>
  <c r="I121" i="2"/>
  <c r="F121" i="2" s="1"/>
  <c r="D132" i="2"/>
  <c r="E121" i="2" l="1"/>
  <c r="E43" i="2"/>
  <c r="C15" i="2"/>
  <c r="C14" i="2" s="1"/>
  <c r="E132" i="2"/>
  <c r="D131" i="2"/>
  <c r="E131" i="2" s="1"/>
  <c r="E16" i="2"/>
  <c r="D15" i="2"/>
  <c r="E114" i="2"/>
  <c r="D108" i="2"/>
  <c r="F16" i="2"/>
  <c r="I15" i="2"/>
  <c r="I107" i="2"/>
  <c r="F107" i="2" s="1"/>
  <c r="E108" i="2" l="1"/>
  <c r="D107" i="2"/>
  <c r="E107" i="2" s="1"/>
  <c r="F15" i="2"/>
  <c r="I14" i="2"/>
  <c r="F14" i="2" s="1"/>
  <c r="E15" i="2"/>
  <c r="D14" i="2"/>
  <c r="E14" i="2" s="1"/>
  <c r="D119" i="1" l="1"/>
  <c r="D118" i="1" l="1"/>
  <c r="D116" i="1"/>
  <c r="D109" i="1"/>
  <c r="E98" i="1"/>
  <c r="D78" i="1"/>
  <c r="D72" i="1" s="1"/>
  <c r="D58" i="1"/>
  <c r="C58" i="1"/>
  <c r="I141" i="1" l="1"/>
  <c r="D141" i="1"/>
  <c r="C141" i="1"/>
  <c r="I139" i="1"/>
  <c r="F138" i="1"/>
  <c r="E135" i="1"/>
  <c r="F132" i="1"/>
  <c r="E132" i="1"/>
  <c r="I131" i="1"/>
  <c r="D131" i="1"/>
  <c r="C131" i="1"/>
  <c r="C130" i="1" s="1"/>
  <c r="F129" i="1"/>
  <c r="F128" i="1"/>
  <c r="I127" i="1"/>
  <c r="D127" i="1"/>
  <c r="C127" i="1"/>
  <c r="I124" i="1"/>
  <c r="F123" i="1"/>
  <c r="E123" i="1"/>
  <c r="F122" i="1"/>
  <c r="E122" i="1"/>
  <c r="I121" i="1"/>
  <c r="D121" i="1"/>
  <c r="C121" i="1"/>
  <c r="F119" i="1"/>
  <c r="E119" i="1"/>
  <c r="F118" i="1"/>
  <c r="E118" i="1"/>
  <c r="F117" i="1"/>
  <c r="E117" i="1"/>
  <c r="F116" i="1"/>
  <c r="E116" i="1"/>
  <c r="F115" i="1"/>
  <c r="E115" i="1"/>
  <c r="I114" i="1"/>
  <c r="D114" i="1"/>
  <c r="C114" i="1"/>
  <c r="I112" i="1"/>
  <c r="D112" i="1"/>
  <c r="C112" i="1"/>
  <c r="I109" i="1"/>
  <c r="C109" i="1"/>
  <c r="I105" i="1"/>
  <c r="D105" i="1"/>
  <c r="C105" i="1"/>
  <c r="I103" i="1"/>
  <c r="D103" i="1"/>
  <c r="C103" i="1"/>
  <c r="F96" i="1"/>
  <c r="E96" i="1"/>
  <c r="E95" i="1"/>
  <c r="E92" i="1"/>
  <c r="I91" i="1"/>
  <c r="I90" i="1" s="1"/>
  <c r="D91" i="1"/>
  <c r="C91" i="1"/>
  <c r="C90" i="1" s="1"/>
  <c r="E89" i="1"/>
  <c r="E86" i="1"/>
  <c r="E85" i="1"/>
  <c r="F84" i="1"/>
  <c r="E84" i="1"/>
  <c r="E83" i="1"/>
  <c r="F82" i="1"/>
  <c r="E82" i="1"/>
  <c r="I81" i="1"/>
  <c r="D81" i="1"/>
  <c r="C81" i="1"/>
  <c r="C78" i="1"/>
  <c r="E78" i="1" s="1"/>
  <c r="E77" i="1"/>
  <c r="F76" i="1"/>
  <c r="E76" i="1"/>
  <c r="E75" i="1"/>
  <c r="F74" i="1"/>
  <c r="E74" i="1"/>
  <c r="F73" i="1"/>
  <c r="E73" i="1"/>
  <c r="I72" i="1"/>
  <c r="C72" i="1"/>
  <c r="E70" i="1"/>
  <c r="E69" i="1"/>
  <c r="I68" i="1"/>
  <c r="D68" i="1"/>
  <c r="C68" i="1"/>
  <c r="F67" i="1"/>
  <c r="F66" i="1"/>
  <c r="E66" i="1"/>
  <c r="F65" i="1"/>
  <c r="E65" i="1"/>
  <c r="F64" i="1"/>
  <c r="E64" i="1"/>
  <c r="F63" i="1"/>
  <c r="E63" i="1"/>
  <c r="I62" i="1"/>
  <c r="D62" i="1"/>
  <c r="C62" i="1"/>
  <c r="F61" i="1"/>
  <c r="E61" i="1"/>
  <c r="I58" i="1"/>
  <c r="E58" i="1"/>
  <c r="E57" i="1"/>
  <c r="E56" i="1"/>
  <c r="E55" i="1"/>
  <c r="F54" i="1"/>
  <c r="E54" i="1"/>
  <c r="I53" i="1"/>
  <c r="D53" i="1"/>
  <c r="C53" i="1"/>
  <c r="F52" i="1"/>
  <c r="E52" i="1"/>
  <c r="F51" i="1"/>
  <c r="E51" i="1"/>
  <c r="F50" i="1"/>
  <c r="E50" i="1"/>
  <c r="I49" i="1"/>
  <c r="D49" i="1"/>
  <c r="C49" i="1"/>
  <c r="F48" i="1"/>
  <c r="E48" i="1"/>
  <c r="E47" i="1"/>
  <c r="F46" i="1"/>
  <c r="E46" i="1"/>
  <c r="F45" i="1"/>
  <c r="E45" i="1"/>
  <c r="I44" i="1"/>
  <c r="D44" i="1"/>
  <c r="C44" i="1"/>
  <c r="E42" i="1"/>
  <c r="D41" i="1"/>
  <c r="C41" i="1"/>
  <c r="F40" i="1"/>
  <c r="E40" i="1"/>
  <c r="F39" i="1"/>
  <c r="E39" i="1"/>
  <c r="F38" i="1"/>
  <c r="E38" i="1"/>
  <c r="F37" i="1"/>
  <c r="E37" i="1"/>
  <c r="I36" i="1"/>
  <c r="D36" i="1"/>
  <c r="C36" i="1"/>
  <c r="E35" i="1"/>
  <c r="F34" i="1"/>
  <c r="E34" i="1"/>
  <c r="I33" i="1"/>
  <c r="D33" i="1"/>
  <c r="C33" i="1"/>
  <c r="F32" i="1"/>
  <c r="E32" i="1"/>
  <c r="F31" i="1"/>
  <c r="E31" i="1"/>
  <c r="F29" i="1"/>
  <c r="E29" i="1"/>
  <c r="F28" i="1"/>
  <c r="E28" i="1"/>
  <c r="F27" i="1"/>
  <c r="E27" i="1"/>
  <c r="F25" i="1"/>
  <c r="E25" i="1"/>
  <c r="F24" i="1"/>
  <c r="E24" i="1"/>
  <c r="I23" i="1"/>
  <c r="D23" i="1"/>
  <c r="C23" i="1"/>
  <c r="I21" i="1"/>
  <c r="D21" i="1"/>
  <c r="C21" i="1"/>
  <c r="F20" i="1"/>
  <c r="F19" i="1"/>
  <c r="E19" i="1"/>
  <c r="F18" i="1"/>
  <c r="E18" i="1"/>
  <c r="I17" i="1"/>
  <c r="D17" i="1"/>
  <c r="C17" i="1"/>
  <c r="D120" i="1" l="1"/>
  <c r="E131" i="1"/>
  <c r="E33" i="1"/>
  <c r="F49" i="1"/>
  <c r="C102" i="1"/>
  <c r="C97" i="1" s="1"/>
  <c r="F53" i="1"/>
  <c r="F58" i="1"/>
  <c r="I108" i="1"/>
  <c r="F108" i="1" s="1"/>
  <c r="F81" i="1"/>
  <c r="C108" i="1"/>
  <c r="E114" i="1"/>
  <c r="C16" i="1"/>
  <c r="E17" i="1"/>
  <c r="E49" i="1"/>
  <c r="E81" i="1"/>
  <c r="F114" i="1"/>
  <c r="F17" i="1"/>
  <c r="F33" i="1"/>
  <c r="E36" i="1"/>
  <c r="E41" i="1"/>
  <c r="I102" i="1"/>
  <c r="I97" i="1" s="1"/>
  <c r="D108" i="1"/>
  <c r="E108" i="1" s="1"/>
  <c r="F44" i="1"/>
  <c r="D102" i="1"/>
  <c r="D97" i="1" s="1"/>
  <c r="I120" i="1"/>
  <c r="I130" i="1"/>
  <c r="F68" i="1"/>
  <c r="F90" i="1"/>
  <c r="C120" i="1"/>
  <c r="F127" i="1"/>
  <c r="E62" i="1"/>
  <c r="E44" i="1"/>
  <c r="E121" i="1"/>
  <c r="F131" i="1"/>
  <c r="E72" i="1"/>
  <c r="F91" i="1"/>
  <c r="F121" i="1"/>
  <c r="E53" i="1"/>
  <c r="D130" i="1"/>
  <c r="E130" i="1" s="1"/>
  <c r="E127" i="1"/>
  <c r="E91" i="1"/>
  <c r="E68" i="1"/>
  <c r="C43" i="1"/>
  <c r="D43" i="1"/>
  <c r="E23" i="1"/>
  <c r="D16" i="1"/>
  <c r="I43" i="1"/>
  <c r="F62" i="1"/>
  <c r="F36" i="1"/>
  <c r="I16" i="1"/>
  <c r="F23" i="1"/>
  <c r="F72" i="1"/>
  <c r="F97" i="1" l="1"/>
  <c r="C15" i="1"/>
  <c r="I107" i="1"/>
  <c r="F107" i="1" s="1"/>
  <c r="F16" i="1"/>
  <c r="F120" i="1"/>
  <c r="C107" i="1"/>
  <c r="C14" i="1" s="1"/>
  <c r="E97" i="1"/>
  <c r="D90" i="1"/>
  <c r="E90" i="1" s="1"/>
  <c r="F130" i="1"/>
  <c r="E120" i="1"/>
  <c r="D107" i="1"/>
  <c r="E43" i="1"/>
  <c r="E16" i="1"/>
  <c r="I15" i="1"/>
  <c r="I14" i="1" s="1"/>
  <c r="F43" i="1"/>
  <c r="E107" i="1" l="1"/>
  <c r="D15" i="1"/>
  <c r="D14" i="1" s="1"/>
  <c r="E14" i="1" s="1"/>
  <c r="F14" i="1"/>
  <c r="F15" i="1"/>
  <c r="E15" i="1" l="1"/>
</calcChain>
</file>

<file path=xl/sharedStrings.xml><?xml version="1.0" encoding="utf-8"?>
<sst xmlns="http://schemas.openxmlformats.org/spreadsheetml/2006/main" count="494" uniqueCount="212">
  <si>
    <t>Biểu số 3 - Ban hành kèm theo Thông tư số 61/2017/TT-BTC ngày 15 tháng 6 năm 2017 của Bộ Tài chính</t>
  </si>
  <si>
    <t>ĐÁNH GIÁ THỰC HiỆN DỰ TOÁN THU CHI NGÂN SÁCH</t>
  </si>
  <si>
    <t>Số TT</t>
  </si>
  <si>
    <t>Nội dung</t>
  </si>
  <si>
    <t>Dự toán năm</t>
  </si>
  <si>
    <t>So sánh 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</si>
  <si>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</si>
  <si>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</si>
  <si>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</si>
  <si>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</si>
  <si>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</si>
  <si>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</si>
  <si>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QUY I/2017</t>
  </si>
  <si>
    <t>Chi sự nghiệp giáo dục, đào tạo, dạy nghề</t>
  </si>
  <si>
    <t>KINH PHÍ NHIỆM VỤ THƯỜNG XUYÊN</t>
  </si>
  <si>
    <t>Tiểu nhóm 0129: Chi thanh toán cho cá nhân</t>
  </si>
  <si>
    <t>6000</t>
  </si>
  <si>
    <t>Tiền lương</t>
  </si>
  <si>
    <t>6001</t>
  </si>
  <si>
    <t>Lương ngạch bậc được duyệt</t>
  </si>
  <si>
    <t>6003</t>
  </si>
  <si>
    <t>Lương hợp đồng dài hạn</t>
  </si>
  <si>
    <t>6004</t>
  </si>
  <si>
    <t>Lương ngoài biên chế</t>
  </si>
  <si>
    <t>Tiền công trả cho lao động thường xuyên theo hợp đồng</t>
  </si>
  <si>
    <t>Tiền công trả cho lao động thường xuyên theo hợp đồng (Phục vụ)</t>
  </si>
  <si>
    <t>6100</t>
  </si>
  <si>
    <t>Phụ cấp lương</t>
  </si>
  <si>
    <t>6101</t>
  </si>
  <si>
    <t>Phụ cấp chức vụ</t>
  </si>
  <si>
    <t>6102</t>
  </si>
  <si>
    <t>Phụ cấp khu vực</t>
  </si>
  <si>
    <t>6106</t>
  </si>
  <si>
    <t>Phụ cấp thêm giờ, thêm buổi</t>
  </si>
  <si>
    <t>6107</t>
  </si>
  <si>
    <t>Phụ cấp độc hại, nguy hiểm</t>
  </si>
  <si>
    <t>6112</t>
  </si>
  <si>
    <t>Phụ cấp ưu đãi ngành</t>
  </si>
  <si>
    <t>Phụ cấp trách nhiệm theo nghề, theo công việc</t>
  </si>
  <si>
    <t>Phụ cấp trách nhiệm hướng dẫn tập sự</t>
  </si>
  <si>
    <t>Phụ cấp thâm niên nghề</t>
  </si>
  <si>
    <t>Phụ cấp thâm niên vượt khung</t>
  </si>
  <si>
    <t>6250</t>
  </si>
  <si>
    <t>Phúc lợi tập thể</t>
  </si>
  <si>
    <t>6253</t>
  </si>
  <si>
    <t>Tàu xe nghỉ phép năm</t>
  </si>
  <si>
    <t>6299</t>
  </si>
  <si>
    <t>Tiền nước uống</t>
  </si>
  <si>
    <t>6300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</si>
  <si>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</si>
  <si>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</si>
  <si>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</si>
  <si>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</si>
  <si>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</si>
  <si>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</si>
  <si>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</si>
  <si>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</si>
  <si>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</si>
  <si>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6400</t>
  </si>
  <si>
    <t>Các khoản thanh toán cho cá nhân</t>
  </si>
  <si>
    <t>6404</t>
  </si>
  <si>
    <t>Chi thu nhập tăng thêm theo cơ chế khoán tự chủ</t>
  </si>
  <si>
    <t>Tiểu nhóm 0030: Chi mua hàng hóa, dịch vụ</t>
  </si>
  <si>
    <t>6500</t>
  </si>
  <si>
    <t>Chi thanh toán dịch vụ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</si>
  <si>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</si>
  <si>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</si>
  <si>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</si>
  <si>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</si>
  <si>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</si>
  <si>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</si>
  <si>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</si>
  <si>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Tiền vệ sinh môi trường</t>
  </si>
  <si>
    <t>6550</t>
  </si>
  <si>
    <t>Vật tư văn phòng</t>
  </si>
  <si>
    <t>6551</t>
  </si>
  <si>
    <t>Vaăn phòng phẩm</t>
  </si>
  <si>
    <t>6552</t>
  </si>
  <si>
    <t>Mua sắm CCDC</t>
  </si>
  <si>
    <t>6599</t>
  </si>
  <si>
    <t>Vật tư văn phòng khác</t>
  </si>
  <si>
    <t>6600</t>
  </si>
  <si>
    <t>Thông tin tuyên truyền liên lạc</t>
  </si>
  <si>
    <t>Cước phí điện thoại</t>
  </si>
  <si>
    <t>Thuê bao cáp truyền hình, kết nối internet</t>
  </si>
  <si>
    <t>Sách báo, tạp chí thư viện</t>
  </si>
  <si>
    <t>Khoán điện thoại</t>
  </si>
  <si>
    <t>6650</t>
  </si>
  <si>
    <t>Hội nghị</t>
  </si>
  <si>
    <t>6651</t>
  </si>
  <si>
    <t>In tài liệu</t>
  </si>
  <si>
    <t>6699</t>
  </si>
  <si>
    <t>Chi tiền nước</t>
  </si>
  <si>
    <t>Chi phí khác</t>
  </si>
  <si>
    <t>6700</t>
  </si>
  <si>
    <t>Công tác phí</t>
  </si>
  <si>
    <t>6701</t>
  </si>
  <si>
    <t>Tiền vé máy bay, tàu xe</t>
  </si>
  <si>
    <t>6702</t>
  </si>
  <si>
    <t>Phụ cấp công tác phí</t>
  </si>
  <si>
    <t>6703</t>
  </si>
  <si>
    <t>Tiền thuê phòng ngủ</t>
  </si>
  <si>
    <t>6704</t>
  </si>
  <si>
    <t>Khoán công tác phí</t>
  </si>
  <si>
    <t>6749</t>
  </si>
  <si>
    <t>Chi khác (tài liệu đi tập huấn)</t>
  </si>
  <si>
    <t>6750</t>
  </si>
  <si>
    <t>Chi phí thuê mướn</t>
  </si>
  <si>
    <t>6751</t>
  </si>
  <si>
    <t>Thuê phương tiện vận chuyển</t>
  </si>
  <si>
    <t>6754</t>
  </si>
  <si>
    <t>Thuê thiết bị âm thanh, máy phô tô</t>
  </si>
  <si>
    <t>6799</t>
  </si>
  <si>
    <t>Chi phí thuê mướn khác (pho to, chăm sóc cây xanh)</t>
  </si>
  <si>
    <t>6900</t>
  </si>
  <si>
    <t>Sửa chữa thường xuyên TSCĐ</t>
  </si>
  <si>
    <t>6907</t>
  </si>
  <si>
    <t>Sửa chữa nhà cửa</t>
  </si>
  <si>
    <t>Sửa chữa thiết bị tin học</t>
  </si>
  <si>
    <t>Sửa chữa máy phô tô, điều hòa nhiệt độ, máy bơm nước, thiết bị phòng cháy chữa cháy, hệ thống âm thanh thi tiếng anh ...</t>
  </si>
  <si>
    <t>Đường điện cấp thoát nước</t>
  </si>
  <si>
    <t>Sửa chữa khác CSVC</t>
  </si>
  <si>
    <t>Mua sắm tài sản phục vụ công tác chuyên môn</t>
  </si>
  <si>
    <t>Làm khu vườn thực hành cho học sinh</t>
  </si>
  <si>
    <t>Mua sắm tài sản khác (âm thanh nghe tiếng anh)</t>
  </si>
  <si>
    <t>7000</t>
  </si>
  <si>
    <t>Chi nghiệp vụ chuyên môn</t>
  </si>
  <si>
    <t>7001</t>
  </si>
  <si>
    <t>Chi mua hàng hóa, vật tư cho chuyên môn</t>
  </si>
  <si>
    <t>7004</t>
  </si>
  <si>
    <t>Chi đồng phục trang phục TDTT</t>
  </si>
  <si>
    <t>7012</t>
  </si>
  <si>
    <t>Chi phí nghiệp vụ chuyên ngành (Sách, tài liệu cho hs, thi nghề)</t>
  </si>
  <si>
    <t>7049</t>
  </si>
  <si>
    <t>Chi khen thưởng học sinh (HK I+ HK II)</t>
  </si>
  <si>
    <t>Chi các hội thi học sinh tham gia</t>
  </si>
  <si>
    <t>Chi bồi dưỡng tập huấn chuyên môn</t>
  </si>
  <si>
    <t>Chi bồi dưỡng học sinh giỏi cấp tỉnh</t>
  </si>
  <si>
    <t>Chi bồi dưỡng giáo viên giỏi cấp tỉnh</t>
  </si>
  <si>
    <t>Tiểu nhóm 0132: Chi khác</t>
  </si>
  <si>
    <t>7750</t>
  </si>
  <si>
    <t>7761</t>
  </si>
  <si>
    <t>Chi tiếp khách</t>
  </si>
  <si>
    <t>7799</t>
  </si>
  <si>
    <t>Chi phí khác (cắm trại 20/11, khám sức khỏe định kỳ cho hs, ...)</t>
  </si>
  <si>
    <t>Trích 10% CCTL</t>
  </si>
  <si>
    <t>7764</t>
  </si>
  <si>
    <t>Khen thưởng giáo viên</t>
  </si>
  <si>
    <t>Trích lập quỹ khen thưởng</t>
  </si>
  <si>
    <t>Tiểu nhóm 0135: Chi hỗ trợ vốn cho các doanh nghiệp, các quỹ và đầu tư vào tài sản</t>
  </si>
  <si>
    <t>9000</t>
  </si>
  <si>
    <t>Mua đầu tư tài sản vô hình</t>
  </si>
  <si>
    <t>9003</t>
  </si>
  <si>
    <t>Mua phầm mềm ra đề thi</t>
  </si>
  <si>
    <t>9050</t>
  </si>
  <si>
    <t>Mua sắm tài sản dùng cho công tác chuyên môn</t>
  </si>
  <si>
    <t>9099</t>
  </si>
  <si>
    <t>Mua nhà dù</t>
  </si>
  <si>
    <t>2.2 KINH PHÍ NHIỆM VỤ KHÔNG THƯỜNG XUYÊN</t>
  </si>
  <si>
    <t>6103</t>
  </si>
  <si>
    <t>Phụ cấp thu hút</t>
  </si>
  <si>
    <t>6449</t>
  </si>
  <si>
    <t>Hỗ trợ NV làm thư viện (QĐ số 58/2015)</t>
  </si>
  <si>
    <t>Phụ cấp bảo vệ</t>
  </si>
  <si>
    <t>Hỗ trợ ưu đãi 30% (QĐ số 26/2011)</t>
  </si>
  <si>
    <t>Phụ cấp nhân viên phục vụ</t>
  </si>
  <si>
    <t>Hỗ trợ làm công tác phổ cập (QĐ số 27/2012)</t>
  </si>
  <si>
    <t>6758</t>
  </si>
  <si>
    <t>Chi học đại học</t>
  </si>
  <si>
    <t>Khuyến khích tự đào tạo</t>
  </si>
  <si>
    <t>69000</t>
  </si>
  <si>
    <t>Sửa chữa tài sản chuyên môn, các cơ sở hạ tầng</t>
  </si>
  <si>
    <t>6949</t>
  </si>
  <si>
    <t>Chi tiền cải tạo hệ thống PCCC và giềng khoan công nghiệp</t>
  </si>
  <si>
    <t>Chi đồng phục bảo vệ</t>
  </si>
  <si>
    <t>Kinh phí sinh hoạt hè</t>
  </si>
  <si>
    <t>7700</t>
  </si>
  <si>
    <t>Chi khác</t>
  </si>
  <si>
    <t>Chi tiền tết</t>
  </si>
  <si>
    <t>Hỗ trợ GV công tác xa nhà</t>
  </si>
  <si>
    <t>Tiền hỗ trợ 20/11</t>
  </si>
  <si>
    <t>Trợ cấp lần đầu</t>
  </si>
  <si>
    <t>Hỗ trợ chi phí học tập</t>
  </si>
  <si>
    <t>7766</t>
  </si>
  <si>
    <t>Cấp bù học phí</t>
  </si>
  <si>
    <t>Các quỹ đầu tư vào tài sản</t>
  </si>
  <si>
    <t>9049</t>
  </si>
  <si>
    <t>Chi tiền mua phần mềm cổng thông tin điện tử ePortal</t>
  </si>
  <si>
    <t>3.3. KINH PHÍ MUA SẮM</t>
  </si>
  <si>
    <t xml:space="preserve">Mua bàn ghế học sinh </t>
  </si>
  <si>
    <t>Mua máy chiếu, láp top phục vụ dạy học</t>
  </si>
  <si>
    <t>Mua máy vi tính, máy in văn phòng</t>
  </si>
  <si>
    <t>Hiệu trưởng</t>
  </si>
  <si>
    <t xml:space="preserve">ĐƠN VỊ: </t>
  </si>
  <si>
    <t>QUÝ IV NĂM 2018</t>
  </si>
  <si>
    <t>TRƯỜNG TIỂU HỌC TÂN HIỆP</t>
  </si>
  <si>
    <t>CHƯƠNG: 622 LOẠI:   070       KHOẢN: 072</t>
  </si>
  <si>
    <t>Ước thực hiện quý IV/2018</t>
  </si>
  <si>
    <t>, ngày ... tháng ... năm 2019</t>
  </si>
  <si>
    <t>Chi lập quỹ của đơn vị</t>
  </si>
  <si>
    <t>Chi lập quỹ dự phòng ổn định</t>
  </si>
  <si>
    <t>Chi lập quỹ phúc lợi</t>
  </si>
  <si>
    <t xml:space="preserve">Chị lập quỹ khen thưởng </t>
  </si>
  <si>
    <t>Chi lập quỹ phát triển hoạt động 
sự nghiệp</t>
  </si>
  <si>
    <t>7950</t>
  </si>
  <si>
    <t>Thừa giờ</t>
  </si>
  <si>
    <t>Phụ cấp khác</t>
  </si>
  <si>
    <t>Mua tủ hồ sơ, bàn ghế giáo viên</t>
  </si>
  <si>
    <t>QUÝ I NĂM 2019</t>
  </si>
  <si>
    <t>Ước thực hiện quý I/2019</t>
  </si>
  <si>
    <t>Phụ cấp nhân viên y tế</t>
  </si>
  <si>
    <t>QUY 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</si>
</sst>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  <numFmt numFmtId="167" formatCode="_-* #,##0\ _đ_-;\-* #,##0\ _đ_-;_-* &quot;-&quot;??\ _đ_-;_-@_-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name val="Times New Roman"/>
      <family val="1"/>
    </font>
    <font>
      <i/>
      <sz val="10"/>
      <color theme="1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165" fontId="3" fillId="2" borderId="0" xfId="1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0" fontId="4" fillId="2" borderId="0" xfId="0" applyFont="1" applyFill="1"/>
    <xf numFmtId="165" fontId="4" fillId="2" borderId="0" xfId="1" applyNumberFormat="1" applyFont="1" applyFill="1"/>
    <xf numFmtId="10" fontId="4" fillId="2" borderId="0" xfId="1" applyNumberFormat="1" applyFont="1" applyFill="1"/>
    <xf numFmtId="10" fontId="3" fillId="2" borderId="0" xfId="1" applyNumberFormat="1" applyFont="1" applyFill="1"/>
    <xf numFmtId="0" fontId="4" fillId="2" borderId="0" xfId="0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0" fontId="4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165" fontId="4" fillId="2" borderId="2" xfId="1" applyNumberFormat="1" applyFont="1" applyFill="1" applyBorder="1"/>
    <xf numFmtId="10" fontId="4" fillId="2" borderId="2" xfId="1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165" fontId="5" fillId="2" borderId="2" xfId="1" applyNumberFormat="1" applyFont="1" applyFill="1" applyBorder="1"/>
    <xf numFmtId="10" fontId="5" fillId="2" borderId="2" xfId="1" applyNumberFormat="1" applyFont="1" applyFill="1" applyBorder="1"/>
    <xf numFmtId="165" fontId="5" fillId="2" borderId="0" xfId="1" applyNumberFormat="1" applyFont="1" applyFill="1"/>
    <xf numFmtId="0" fontId="5" fillId="2" borderId="0" xfId="0" applyFont="1" applyFill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165" fontId="7" fillId="2" borderId="2" xfId="1" applyNumberFormat="1" applyFont="1" applyFill="1" applyBorder="1"/>
    <xf numFmtId="10" fontId="7" fillId="2" borderId="2" xfId="1" applyNumberFormat="1" applyFont="1" applyFill="1" applyBorder="1"/>
    <xf numFmtId="165" fontId="7" fillId="2" borderId="0" xfId="1" applyNumberFormat="1" applyFont="1" applyFill="1"/>
    <xf numFmtId="0" fontId="7" fillId="2" borderId="0" xfId="0" applyFont="1" applyFill="1"/>
    <xf numFmtId="49" fontId="8" fillId="2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/>
    <xf numFmtId="49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/>
    <xf numFmtId="165" fontId="9" fillId="2" borderId="2" xfId="0" applyNumberFormat="1" applyFont="1" applyFill="1" applyBorder="1"/>
    <xf numFmtId="165" fontId="3" fillId="2" borderId="2" xfId="1" applyNumberFormat="1" applyFont="1" applyFill="1" applyBorder="1"/>
    <xf numFmtId="10" fontId="3" fillId="2" borderId="2" xfId="1" applyNumberFormat="1" applyFont="1" applyFill="1" applyBorder="1"/>
    <xf numFmtId="0" fontId="4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9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/>
    <xf numFmtId="49" fontId="6" fillId="2" borderId="2" xfId="0" applyNumberFormat="1" applyFont="1" applyFill="1" applyBorder="1"/>
    <xf numFmtId="3" fontId="14" fillId="2" borderId="2" xfId="0" applyNumberFormat="1" applyFont="1" applyFill="1" applyBorder="1"/>
    <xf numFmtId="165" fontId="15" fillId="2" borderId="2" xfId="1" applyNumberFormat="1" applyFont="1" applyFill="1" applyBorder="1"/>
    <xf numFmtId="10" fontId="15" fillId="2" borderId="2" xfId="1" applyNumberFormat="1" applyFont="1" applyFill="1" applyBorder="1"/>
    <xf numFmtId="10" fontId="16" fillId="2" borderId="2" xfId="1" applyNumberFormat="1" applyFont="1" applyFill="1" applyBorder="1"/>
    <xf numFmtId="0" fontId="12" fillId="0" borderId="2" xfId="0" applyFont="1" applyBorder="1" applyAlignment="1">
      <alignment horizontal="center"/>
    </xf>
    <xf numFmtId="3" fontId="9" fillId="0" borderId="2" xfId="0" applyNumberFormat="1" applyFont="1" applyBorder="1"/>
    <xf numFmtId="3" fontId="9" fillId="2" borderId="2" xfId="0" applyNumberFormat="1" applyFont="1" applyFill="1" applyBorder="1" applyAlignment="1">
      <alignment wrapText="1"/>
    </xf>
    <xf numFmtId="49" fontId="12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/>
    </xf>
    <xf numFmtId="0" fontId="8" fillId="0" borderId="2" xfId="0" applyFont="1" applyBorder="1"/>
    <xf numFmtId="0" fontId="12" fillId="0" borderId="2" xfId="0" applyFont="1" applyBorder="1" applyAlignment="1">
      <alignment horizontal="left"/>
    </xf>
    <xf numFmtId="3" fontId="12" fillId="0" borderId="2" xfId="0" applyNumberFormat="1" applyFont="1" applyBorder="1"/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left" vertical="center" wrapText="1"/>
    </xf>
    <xf numFmtId="0" fontId="14" fillId="2" borderId="2" xfId="0" applyFont="1" applyFill="1" applyBorder="1"/>
    <xf numFmtId="0" fontId="15" fillId="2" borderId="2" xfId="0" applyFont="1" applyFill="1" applyBorder="1"/>
    <xf numFmtId="0" fontId="12" fillId="0" borderId="2" xfId="0" applyFont="1" applyBorder="1"/>
    <xf numFmtId="165" fontId="15" fillId="2" borderId="2" xfId="1" applyNumberFormat="1" applyFont="1" applyFill="1" applyBorder="1" applyAlignment="1">
      <alignment horizontal="center" vertical="center" wrapText="1"/>
    </xf>
    <xf numFmtId="165" fontId="15" fillId="2" borderId="2" xfId="1" applyNumberFormat="1" applyFont="1" applyFill="1" applyBorder="1" applyAlignment="1">
      <alignment horizontal="right" vertical="center" wrapText="1"/>
    </xf>
    <xf numFmtId="10" fontId="15" fillId="2" borderId="2" xfId="1" applyNumberFormat="1" applyFont="1" applyFill="1" applyBorder="1" applyAlignment="1">
      <alignment horizontal="right" vertical="center" wrapText="1"/>
    </xf>
    <xf numFmtId="10" fontId="16" fillId="2" borderId="2" xfId="1" applyNumberFormat="1" applyFont="1" applyFill="1" applyBorder="1" applyAlignment="1">
      <alignment horizontal="right" vertical="center" wrapText="1"/>
    </xf>
    <xf numFmtId="165" fontId="7" fillId="2" borderId="0" xfId="1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3" fontId="17" fillId="2" borderId="2" xfId="0" applyNumberFormat="1" applyFont="1" applyFill="1" applyBorder="1"/>
    <xf numFmtId="0" fontId="5" fillId="2" borderId="2" xfId="0" applyFont="1" applyFill="1" applyBorder="1"/>
    <xf numFmtId="49" fontId="12" fillId="2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/>
    <xf numFmtId="0" fontId="8" fillId="2" borderId="2" xfId="0" applyFont="1" applyFill="1" applyBorder="1"/>
    <xf numFmtId="0" fontId="7" fillId="2" borderId="2" xfId="0" applyFont="1" applyFill="1" applyBorder="1"/>
    <xf numFmtId="0" fontId="12" fillId="0" borderId="0" xfId="0" applyFont="1" applyBorder="1" applyAlignment="1">
      <alignment horizontal="center"/>
    </xf>
    <xf numFmtId="3" fontId="9" fillId="0" borderId="0" xfId="0" applyNumberFormat="1" applyFont="1" applyBorder="1"/>
    <xf numFmtId="0" fontId="18" fillId="2" borderId="0" xfId="0" applyFont="1" applyFill="1"/>
    <xf numFmtId="165" fontId="18" fillId="2" borderId="0" xfId="1" applyNumberFormat="1" applyFont="1" applyFill="1"/>
    <xf numFmtId="165" fontId="3" fillId="0" borderId="0" xfId="1" applyNumberFormat="1" applyFont="1" applyBorder="1"/>
    <xf numFmtId="165" fontId="4" fillId="2" borderId="0" xfId="1" applyNumberFormat="1" applyFont="1" applyFill="1" applyBorder="1"/>
    <xf numFmtId="165" fontId="3" fillId="2" borderId="0" xfId="1" applyNumberFormat="1" applyFont="1" applyFill="1" applyBorder="1"/>
    <xf numFmtId="165" fontId="4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166" fontId="12" fillId="0" borderId="2" xfId="1" applyNumberFormat="1" applyFont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/>
    </xf>
    <xf numFmtId="166" fontId="20" fillId="0" borderId="2" xfId="1" applyNumberFormat="1" applyFont="1" applyFill="1" applyBorder="1" applyAlignment="1">
      <alignment horizontal="center"/>
    </xf>
    <xf numFmtId="166" fontId="19" fillId="0" borderId="2" xfId="1" applyNumberFormat="1" applyFont="1" applyBorder="1" applyAlignment="1">
      <alignment horizontal="center"/>
    </xf>
    <xf numFmtId="165" fontId="18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166" fontId="12" fillId="0" borderId="2" xfId="1" applyNumberFormat="1" applyFont="1" applyFill="1" applyBorder="1"/>
    <xf numFmtId="166" fontId="12" fillId="0" borderId="2" xfId="1" applyNumberFormat="1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/>
    <xf numFmtId="165" fontId="3" fillId="0" borderId="2" xfId="1" applyNumberFormat="1" applyFont="1" applyFill="1" applyBorder="1"/>
    <xf numFmtId="10" fontId="3" fillId="0" borderId="2" xfId="1" applyNumberFormat="1" applyFont="1" applyFill="1" applyBorder="1"/>
    <xf numFmtId="165" fontId="3" fillId="0" borderId="0" xfId="1" applyNumberFormat="1" applyFont="1" applyFill="1"/>
    <xf numFmtId="0" fontId="3" fillId="0" borderId="0" xfId="0" applyFont="1" applyFill="1"/>
    <xf numFmtId="3" fontId="12" fillId="0" borderId="2" xfId="0" applyNumberFormat="1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/>
    <xf numFmtId="167" fontId="12" fillId="0" borderId="2" xfId="1" applyNumberFormat="1" applyFont="1" applyFill="1" applyBorder="1"/>
    <xf numFmtId="167" fontId="3" fillId="0" borderId="2" xfId="1" applyNumberFormat="1" applyFont="1" applyFill="1" applyBorder="1"/>
    <xf numFmtId="167" fontId="12" fillId="0" borderId="2" xfId="1" applyNumberFormat="1" applyFont="1" applyBorder="1"/>
    <xf numFmtId="165" fontId="4" fillId="2" borderId="6" xfId="1" applyNumberFormat="1" applyFont="1" applyFill="1" applyBorder="1"/>
    <xf numFmtId="165" fontId="5" fillId="2" borderId="6" xfId="1" applyNumberFormat="1" applyFont="1" applyFill="1" applyBorder="1"/>
    <xf numFmtId="165" fontId="7" fillId="2" borderId="6" xfId="1" applyNumberFormat="1" applyFont="1" applyFill="1" applyBorder="1"/>
    <xf numFmtId="167" fontId="12" fillId="0" borderId="6" xfId="1" applyNumberFormat="1" applyFont="1" applyFill="1" applyBorder="1"/>
    <xf numFmtId="165" fontId="3" fillId="2" borderId="6" xfId="1" applyNumberFormat="1" applyFont="1" applyFill="1" applyBorder="1"/>
    <xf numFmtId="167" fontId="3" fillId="0" borderId="6" xfId="1" applyNumberFormat="1" applyFont="1" applyFill="1" applyBorder="1"/>
    <xf numFmtId="165" fontId="15" fillId="2" borderId="6" xfId="1" applyNumberFormat="1" applyFont="1" applyFill="1" applyBorder="1"/>
    <xf numFmtId="165" fontId="3" fillId="0" borderId="6" xfId="1" applyNumberFormat="1" applyFont="1" applyFill="1" applyBorder="1"/>
    <xf numFmtId="167" fontId="12" fillId="0" borderId="6" xfId="1" applyNumberFormat="1" applyFont="1" applyBorder="1"/>
    <xf numFmtId="165" fontId="15" fillId="2" borderId="6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0" fontId="2" fillId="2" borderId="0" xfId="1" applyNumberFormat="1" applyFont="1" applyFill="1" applyBorder="1" applyAlignment="1">
      <alignment horizontal="center" vertical="center"/>
    </xf>
    <xf numFmtId="10" fontId="4" fillId="2" borderId="0" xfId="1" applyNumberFormat="1" applyFont="1" applyFill="1" applyBorder="1"/>
    <xf numFmtId="10" fontId="3" fillId="2" borderId="0" xfId="1" applyNumberFormat="1" applyFont="1" applyFill="1" applyBorder="1"/>
    <xf numFmtId="0" fontId="4" fillId="2" borderId="0" xfId="0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164" fontId="4" fillId="2" borderId="0" xfId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 vertical="center" wrapText="1"/>
    </xf>
    <xf numFmtId="10" fontId="5" fillId="2" borderId="0" xfId="1" applyNumberFormat="1" applyFont="1" applyFill="1" applyBorder="1"/>
    <xf numFmtId="10" fontId="7" fillId="2" borderId="0" xfId="1" applyNumberFormat="1" applyFont="1" applyFill="1" applyBorder="1"/>
    <xf numFmtId="10" fontId="16" fillId="2" borderId="0" xfId="1" applyNumberFormat="1" applyFont="1" applyFill="1" applyBorder="1"/>
    <xf numFmtId="10" fontId="3" fillId="0" borderId="0" xfId="1" applyNumberFormat="1" applyFont="1" applyFill="1" applyBorder="1"/>
    <xf numFmtId="10" fontId="16" fillId="2" borderId="0" xfId="1" applyNumberFormat="1" applyFont="1" applyFill="1" applyBorder="1" applyAlignment="1">
      <alignment horizontal="right" vertical="center" wrapText="1"/>
    </xf>
    <xf numFmtId="10" fontId="15" fillId="2" borderId="0" xfId="1" applyNumberFormat="1" applyFont="1" applyFill="1" applyBorder="1"/>
    <xf numFmtId="165" fontId="18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4" fillId="2" borderId="3" xfId="1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165" fontId="18" fillId="2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/>
    </xf>
    <xf numFmtId="165" fontId="4" fillId="2" borderId="7" xfId="1" applyNumberFormat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 wrapText="1"/>
    </xf>
  </cellXfs>
  <cellStyles count="2">
    <cellStyle name="Bình thường" xfId="0" builtinId="0"/>
    <cellStyle name="Dấu phẩy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opLeftCell="A49" workbookViewId="0">
      <selection activeCell="I144" sqref="I144"/>
    </sheetView>
  </sheetViews>
  <sheetFormatPr defaultColWidth="9.125" defaultRowHeight="12.75" x14ac:dyDescent="0.2"/>
  <cols>
    <col min="1" max="1" width="6.25" style="2" customWidth="1"/>
    <col min="2" max="2" width="47" style="2" customWidth="1"/>
    <col min="3" max="3" width="14.25" style="1" customWidth="1"/>
    <col min="4" max="4" width="13.75" style="1" customWidth="1"/>
    <col min="5" max="5" width="9" style="9" customWidth="1"/>
    <col min="6" max="7" width="8.75" style="9" customWidth="1"/>
    <col min="8" max="8" width="14.25" style="1" customWidth="1"/>
    <col min="9" max="9" width="18.625" style="1" customWidth="1"/>
    <col min="10" max="10" width="11" style="2" bestFit="1" customWidth="1"/>
    <col min="11" max="16384" width="9.125" style="2"/>
  </cols>
  <sheetData>
    <row r="1" spans="1:9" ht="17.25" customHeight="1" x14ac:dyDescent="0.2">
      <c r="A1" s="151" t="s">
        <v>0</v>
      </c>
      <c r="B1" s="151"/>
      <c r="C1" s="151"/>
      <c r="D1" s="151"/>
      <c r="E1" s="151"/>
      <c r="F1" s="151"/>
      <c r="G1" s="100"/>
    </row>
    <row r="2" spans="1:9" ht="3.75" customHeight="1" x14ac:dyDescent="0.2">
      <c r="A2" s="3"/>
      <c r="B2" s="3"/>
      <c r="C2" s="3"/>
      <c r="D2" s="4"/>
      <c r="E2" s="5"/>
      <c r="F2" s="5"/>
      <c r="G2" s="5"/>
      <c r="H2" s="100"/>
    </row>
    <row r="3" spans="1:9" s="6" customFormat="1" x14ac:dyDescent="0.2">
      <c r="A3" s="6" t="s">
        <v>193</v>
      </c>
      <c r="B3" s="6" t="s">
        <v>195</v>
      </c>
      <c r="C3" s="7"/>
      <c r="D3" s="7"/>
      <c r="E3" s="8"/>
      <c r="F3" s="8"/>
      <c r="G3" s="8"/>
      <c r="H3" s="7"/>
      <c r="I3" s="7"/>
    </row>
    <row r="4" spans="1:9" s="6" customFormat="1" x14ac:dyDescent="0.2">
      <c r="A4" s="6" t="s">
        <v>196</v>
      </c>
      <c r="C4" s="7"/>
      <c r="D4" s="7"/>
      <c r="E4" s="8"/>
      <c r="F4" s="8"/>
      <c r="G4" s="8"/>
      <c r="H4" s="7"/>
      <c r="I4" s="7"/>
    </row>
    <row r="5" spans="1:9" ht="6.75" customHeight="1" x14ac:dyDescent="0.2"/>
    <row r="6" spans="1:9" x14ac:dyDescent="0.2">
      <c r="A6" s="152" t="s">
        <v>1</v>
      </c>
      <c r="B6" s="152"/>
      <c r="C6" s="152"/>
      <c r="D6" s="152"/>
      <c r="E6" s="152"/>
      <c r="F6" s="152"/>
      <c r="G6" s="101"/>
    </row>
    <row r="7" spans="1:9" x14ac:dyDescent="0.2">
      <c r="A7" s="152" t="s">
        <v>194</v>
      </c>
      <c r="B7" s="152"/>
      <c r="C7" s="152"/>
      <c r="D7" s="152"/>
      <c r="E7" s="152"/>
      <c r="F7" s="152"/>
      <c r="G7" s="101"/>
    </row>
    <row r="8" spans="1:9" ht="6" customHeight="1" x14ac:dyDescent="0.2">
      <c r="A8" s="10"/>
      <c r="B8" s="10"/>
      <c r="C8" s="11"/>
      <c r="D8" s="90"/>
      <c r="E8" s="12"/>
      <c r="F8" s="12"/>
      <c r="G8" s="12"/>
      <c r="H8" s="99"/>
    </row>
    <row r="9" spans="1:9" x14ac:dyDescent="0.2">
      <c r="A9" s="153" t="s">
        <v>2</v>
      </c>
      <c r="B9" s="153" t="s">
        <v>3</v>
      </c>
      <c r="C9" s="144" t="s">
        <v>4</v>
      </c>
      <c r="D9" s="144" t="s">
        <v>197</v>
      </c>
      <c r="E9" s="156" t="s">
        <v>5</v>
      </c>
      <c r="F9" s="156"/>
      <c r="G9" s="134"/>
      <c r="H9" s="144" t="s">
        <v>4</v>
      </c>
    </row>
    <row r="10" spans="1:9" s="14" customFormat="1" ht="1.5" customHeight="1" x14ac:dyDescent="0.2">
      <c r="A10" s="154"/>
      <c r="B10" s="154"/>
      <c r="C10" s="145"/>
      <c r="D10" s="145"/>
      <c r="E10" s="156"/>
      <c r="F10" s="156"/>
      <c r="G10" s="134"/>
      <c r="H10" s="145"/>
      <c r="I10" s="13"/>
    </row>
    <row r="11" spans="1:9" s="14" customFormat="1" ht="25.5" x14ac:dyDescent="0.2">
      <c r="A11" s="155"/>
      <c r="B11" s="155"/>
      <c r="C11" s="146"/>
      <c r="D11" s="146"/>
      <c r="E11" s="15" t="s">
        <v>6</v>
      </c>
      <c r="F11" s="15" t="s">
        <v>7</v>
      </c>
      <c r="G11" s="135"/>
      <c r="H11" s="146"/>
      <c r="I11" s="13"/>
    </row>
    <row r="12" spans="1:9" s="6" customFormat="1" ht="17.25" customHeight="1" x14ac:dyDescent="0.2">
      <c r="A12" s="16" t="s">
        <v>8</v>
      </c>
      <c r="B12" s="17" t="s">
        <v>9</v>
      </c>
      <c r="C12" s="18"/>
      <c r="D12" s="18"/>
      <c r="E12" s="19"/>
      <c r="F12" s="19"/>
      <c r="G12" s="130"/>
      <c r="H12" s="18"/>
      <c r="I12" s="7"/>
    </row>
    <row r="13" spans="1:9" s="6" customFormat="1" ht="17.25" customHeight="1" x14ac:dyDescent="0.2">
      <c r="A13" s="16" t="s">
        <v>10</v>
      </c>
      <c r="B13" s="17" t="s">
        <v>11</v>
      </c>
      <c r="C13" s="18"/>
      <c r="D13" s="18"/>
      <c r="E13" s="19"/>
      <c r="F13" s="19"/>
      <c r="G13" s="130"/>
      <c r="H13" s="18"/>
      <c r="I13" s="99" t="s">
        <v>211</v>
      </c>
    </row>
    <row r="14" spans="1:9" s="6" customFormat="1" ht="17.25" customHeight="1" x14ac:dyDescent="0.2">
      <c r="A14" s="16">
        <v>1</v>
      </c>
      <c r="B14" s="17" t="s">
        <v>13</v>
      </c>
      <c r="C14" s="18">
        <f>C15+C107</f>
        <v>1147782500</v>
      </c>
      <c r="D14" s="18">
        <f>D15+D107</f>
        <v>2255850720</v>
      </c>
      <c r="E14" s="19">
        <f>D14/C14</f>
        <v>1.965399123962946</v>
      </c>
      <c r="F14" s="19">
        <f>(I14/H14)</f>
        <v>1.0970585986456494</v>
      </c>
      <c r="G14" s="130"/>
      <c r="H14" s="18">
        <f>H15+H107</f>
        <v>1147782500</v>
      </c>
      <c r="I14" s="7">
        <f>I15+I107</f>
        <v>1259184661</v>
      </c>
    </row>
    <row r="15" spans="1:9" s="25" customFormat="1" ht="17.25" customHeight="1" x14ac:dyDescent="0.2">
      <c r="A15" s="20">
        <v>1.1000000000000001</v>
      </c>
      <c r="B15" s="21" t="s">
        <v>14</v>
      </c>
      <c r="C15" s="22">
        <f>C16+C43+C90+C102</f>
        <v>1098330500</v>
      </c>
      <c r="D15" s="22">
        <f>D16+D43+D90+D102</f>
        <v>1436248600</v>
      </c>
      <c r="E15" s="23">
        <f>(D15/C15)</f>
        <v>1.3076652246295628</v>
      </c>
      <c r="F15" s="23">
        <f>(I15/H15)</f>
        <v>1.103987698602561</v>
      </c>
      <c r="G15" s="136"/>
      <c r="H15" s="22">
        <f>H16+H43+H90+H102</f>
        <v>1098330500</v>
      </c>
      <c r="I15" s="24">
        <f>I16+I43+I90+I102</f>
        <v>1212543361</v>
      </c>
    </row>
    <row r="16" spans="1:9" s="31" customFormat="1" ht="17.25" customHeight="1" x14ac:dyDescent="0.25">
      <c r="A16" s="26" t="s">
        <v>15</v>
      </c>
      <c r="B16" s="27"/>
      <c r="C16" s="28">
        <f>C17+C21+C23+C33+C36+C41</f>
        <v>910836500</v>
      </c>
      <c r="D16" s="28">
        <f>D17+D21+D23+D33+D36+D41</f>
        <v>1110274557</v>
      </c>
      <c r="E16" s="29">
        <f t="shared" ref="E16:E17" si="0">(D16/C16)</f>
        <v>1.2189614239218565</v>
      </c>
      <c r="F16" s="29">
        <f>(I16/H16)</f>
        <v>1.0538667598410911</v>
      </c>
      <c r="G16" s="137"/>
      <c r="H16" s="28">
        <f>H17+H21+H23+H33+H36+H41</f>
        <v>910836500</v>
      </c>
      <c r="I16" s="30">
        <f>I17+I21+I23+I33+I36</f>
        <v>959900311</v>
      </c>
    </row>
    <row r="17" spans="1:9" s="6" customFormat="1" ht="17.25" customHeight="1" x14ac:dyDescent="0.2">
      <c r="A17" s="32" t="s">
        <v>16</v>
      </c>
      <c r="B17" s="33" t="s">
        <v>17</v>
      </c>
      <c r="C17" s="18">
        <f>SUM(C18:C20)</f>
        <v>485355000</v>
      </c>
      <c r="D17" s="18">
        <f t="shared" ref="D17" si="1">SUM(D18:D20)</f>
        <v>548632998</v>
      </c>
      <c r="E17" s="19">
        <f t="shared" si="0"/>
        <v>1.1303746700868436</v>
      </c>
      <c r="F17" s="19">
        <f>(I17/H17)</f>
        <v>1.05231325524616</v>
      </c>
      <c r="G17" s="130"/>
      <c r="H17" s="18">
        <f>SUM(H18:H20)</f>
        <v>485355000</v>
      </c>
      <c r="I17" s="7">
        <f>SUM(I18:I20)</f>
        <v>510745500</v>
      </c>
    </row>
    <row r="18" spans="1:9" ht="17.25" customHeight="1" x14ac:dyDescent="0.2">
      <c r="A18" s="34" t="s">
        <v>18</v>
      </c>
      <c r="B18" s="35" t="s">
        <v>19</v>
      </c>
      <c r="C18" s="36">
        <v>323856000</v>
      </c>
      <c r="D18" s="94">
        <v>376467600</v>
      </c>
      <c r="E18" s="38">
        <f>(D18/C18)</f>
        <v>1.1624536831184229</v>
      </c>
      <c r="F18" s="38">
        <f>(I18/H18)</f>
        <v>1.0822541499925893</v>
      </c>
      <c r="G18" s="131"/>
      <c r="H18" s="36">
        <v>323856000</v>
      </c>
      <c r="I18" s="87">
        <v>350494500</v>
      </c>
    </row>
    <row r="19" spans="1:9" ht="17.25" customHeight="1" x14ac:dyDescent="0.2">
      <c r="A19" s="34" t="s">
        <v>20</v>
      </c>
      <c r="B19" s="35" t="s">
        <v>21</v>
      </c>
      <c r="C19" s="36">
        <v>161499000</v>
      </c>
      <c r="D19" s="94">
        <v>172165398</v>
      </c>
      <c r="E19" s="38">
        <f t="shared" ref="E19:E82" si="2">(D19/C19)</f>
        <v>1.0660462170044396</v>
      </c>
      <c r="F19" s="38">
        <f t="shared" ref="F19:F82" si="3">(I19/H19)</f>
        <v>0.99227239797150446</v>
      </c>
      <c r="G19" s="131"/>
      <c r="H19" s="36">
        <v>161499000</v>
      </c>
      <c r="I19" s="87">
        <v>160251000</v>
      </c>
    </row>
    <row r="20" spans="1:9" ht="17.25" customHeight="1" x14ac:dyDescent="0.2">
      <c r="A20" s="34" t="s">
        <v>22</v>
      </c>
      <c r="B20" s="35" t="s">
        <v>23</v>
      </c>
      <c r="C20" s="37"/>
      <c r="D20" s="37"/>
      <c r="E20" s="38"/>
      <c r="F20" s="38" t="e">
        <f t="shared" si="3"/>
        <v>#DIV/0!</v>
      </c>
      <c r="G20" s="131"/>
      <c r="H20" s="37"/>
      <c r="I20" s="87"/>
    </row>
    <row r="21" spans="1:9" s="6" customFormat="1" ht="17.25" customHeight="1" x14ac:dyDescent="0.2">
      <c r="A21" s="39">
        <v>6050</v>
      </c>
      <c r="B21" s="40" t="s">
        <v>24</v>
      </c>
      <c r="C21" s="18">
        <f>C22</f>
        <v>0</v>
      </c>
      <c r="D21" s="18">
        <f t="shared" ref="D21" si="4">D22</f>
        <v>0</v>
      </c>
      <c r="E21" s="19">
        <v>0</v>
      </c>
      <c r="F21" s="19">
        <v>0</v>
      </c>
      <c r="G21" s="130"/>
      <c r="H21" s="18">
        <f>H22</f>
        <v>0</v>
      </c>
      <c r="I21" s="88">
        <f>I22</f>
        <v>0</v>
      </c>
    </row>
    <row r="22" spans="1:9" ht="24.75" customHeight="1" x14ac:dyDescent="0.2">
      <c r="A22" s="41">
        <v>6051</v>
      </c>
      <c r="B22" s="42" t="s">
        <v>25</v>
      </c>
      <c r="C22" s="37"/>
      <c r="D22" s="37"/>
      <c r="E22" s="38">
        <v>0</v>
      </c>
      <c r="F22" s="38">
        <v>0</v>
      </c>
      <c r="G22" s="131"/>
      <c r="H22" s="37"/>
      <c r="I22" s="89"/>
    </row>
    <row r="23" spans="1:9" s="6" customFormat="1" ht="17.25" customHeight="1" x14ac:dyDescent="0.2">
      <c r="A23" s="32" t="s">
        <v>26</v>
      </c>
      <c r="B23" s="33" t="s">
        <v>27</v>
      </c>
      <c r="C23" s="18">
        <f>SUM(C24:C32)</f>
        <v>290623000</v>
      </c>
      <c r="D23" s="18">
        <f>SUM(D24:D32)</f>
        <v>253618489</v>
      </c>
      <c r="E23" s="19">
        <f t="shared" si="2"/>
        <v>0.87267177408532703</v>
      </c>
      <c r="F23" s="19">
        <f t="shared" si="3"/>
        <v>1.0659465458687027</v>
      </c>
      <c r="G23" s="130"/>
      <c r="H23" s="18">
        <f>SUM(H24:H32)</f>
        <v>290623000</v>
      </c>
      <c r="I23" s="88">
        <f>SUM(I24:I32)</f>
        <v>309788583</v>
      </c>
    </row>
    <row r="24" spans="1:9" ht="17.25" customHeight="1" x14ac:dyDescent="0.2">
      <c r="A24" s="34" t="s">
        <v>28</v>
      </c>
      <c r="B24" s="35" t="s">
        <v>29</v>
      </c>
      <c r="C24" s="37">
        <v>9555000</v>
      </c>
      <c r="D24" s="94">
        <v>7163016</v>
      </c>
      <c r="E24" s="38">
        <f t="shared" si="2"/>
        <v>0.74966153846153849</v>
      </c>
      <c r="F24" s="38">
        <f t="shared" si="3"/>
        <v>0.99947671376242808</v>
      </c>
      <c r="G24" s="131"/>
      <c r="H24" s="37">
        <v>9555000</v>
      </c>
      <c r="I24" s="87">
        <v>9550000</v>
      </c>
    </row>
    <row r="25" spans="1:9" ht="17.25" customHeight="1" x14ac:dyDescent="0.2">
      <c r="A25" s="34" t="s">
        <v>30</v>
      </c>
      <c r="B25" s="35" t="s">
        <v>31</v>
      </c>
      <c r="C25" s="37">
        <v>15210000</v>
      </c>
      <c r="D25" s="94">
        <v>10981000</v>
      </c>
      <c r="E25" s="38">
        <f t="shared" si="2"/>
        <v>0.7219592373438527</v>
      </c>
      <c r="F25" s="38">
        <f t="shared" si="3"/>
        <v>1.017094017094017</v>
      </c>
      <c r="G25" s="131"/>
      <c r="H25" s="37">
        <v>15210000</v>
      </c>
      <c r="I25" s="87">
        <v>15470000</v>
      </c>
    </row>
    <row r="26" spans="1:9" ht="17.25" customHeight="1" x14ac:dyDescent="0.2">
      <c r="A26" s="34" t="s">
        <v>32</v>
      </c>
      <c r="B26" s="35" t="s">
        <v>33</v>
      </c>
      <c r="C26" s="37"/>
      <c r="D26" s="95"/>
      <c r="E26" s="38"/>
      <c r="F26" s="38">
        <v>0</v>
      </c>
      <c r="G26" s="131"/>
      <c r="H26" s="37"/>
    </row>
    <row r="27" spans="1:9" ht="17.25" customHeight="1" x14ac:dyDescent="0.2">
      <c r="A27" s="34" t="s">
        <v>34</v>
      </c>
      <c r="B27" s="35" t="s">
        <v>35</v>
      </c>
      <c r="C27" s="37"/>
      <c r="D27" s="95"/>
      <c r="E27" s="38" t="e">
        <f>(D27/C27)</f>
        <v>#DIV/0!</v>
      </c>
      <c r="F27" s="38" t="e">
        <f t="shared" si="3"/>
        <v>#DIV/0!</v>
      </c>
      <c r="G27" s="131"/>
      <c r="H27" s="37"/>
    </row>
    <row r="28" spans="1:9" ht="17.25" customHeight="1" x14ac:dyDescent="0.2">
      <c r="A28" s="34" t="s">
        <v>36</v>
      </c>
      <c r="B28" s="35" t="s">
        <v>37</v>
      </c>
      <c r="C28" s="37">
        <v>198108250</v>
      </c>
      <c r="D28" s="95">
        <v>151376560</v>
      </c>
      <c r="E28" s="38">
        <f t="shared" ref="E28" si="5">(D28/C28)</f>
        <v>0.76411032857036498</v>
      </c>
      <c r="F28" s="38">
        <f t="shared" si="3"/>
        <v>1.0640826416870575</v>
      </c>
      <c r="G28" s="131"/>
      <c r="H28" s="37">
        <v>198108250</v>
      </c>
      <c r="I28" s="1">
        <v>210803550</v>
      </c>
    </row>
    <row r="29" spans="1:9" ht="17.25" customHeight="1" x14ac:dyDescent="0.2">
      <c r="A29" s="43">
        <v>6113</v>
      </c>
      <c r="B29" s="35" t="s">
        <v>38</v>
      </c>
      <c r="C29" s="37">
        <v>1560000</v>
      </c>
      <c r="D29" s="95">
        <v>1112000</v>
      </c>
      <c r="E29" s="38">
        <f t="shared" si="2"/>
        <v>0.71282051282051284</v>
      </c>
      <c r="F29" s="38">
        <f t="shared" si="3"/>
        <v>1</v>
      </c>
      <c r="G29" s="131"/>
      <c r="H29" s="37">
        <v>1560000</v>
      </c>
      <c r="I29" s="1">
        <v>1560000</v>
      </c>
    </row>
    <row r="30" spans="1:9" ht="17.25" customHeight="1" x14ac:dyDescent="0.2">
      <c r="A30" s="44">
        <v>6113</v>
      </c>
      <c r="B30" s="45" t="s">
        <v>39</v>
      </c>
      <c r="C30" s="37"/>
      <c r="D30" s="95"/>
      <c r="E30" s="38"/>
      <c r="F30" s="38">
        <v>0</v>
      </c>
      <c r="G30" s="131"/>
      <c r="H30" s="37"/>
    </row>
    <row r="31" spans="1:9" ht="17.25" customHeight="1" x14ac:dyDescent="0.2">
      <c r="A31" s="44">
        <v>6115</v>
      </c>
      <c r="B31" s="45" t="s">
        <v>40</v>
      </c>
      <c r="C31" s="37">
        <v>66189750</v>
      </c>
      <c r="D31" s="95">
        <v>82985913</v>
      </c>
      <c r="E31" s="38">
        <f t="shared" si="2"/>
        <v>1.2537577646085685</v>
      </c>
      <c r="F31" s="38">
        <f t="shared" si="3"/>
        <v>1.0939009892015001</v>
      </c>
      <c r="G31" s="131"/>
      <c r="H31" s="37">
        <v>66189750</v>
      </c>
      <c r="I31" s="1">
        <v>72405033</v>
      </c>
    </row>
    <row r="32" spans="1:9" ht="17.25" customHeight="1" x14ac:dyDescent="0.2">
      <c r="A32" s="44">
        <v>6115</v>
      </c>
      <c r="B32" s="45" t="s">
        <v>41</v>
      </c>
      <c r="C32" s="37"/>
      <c r="D32" s="37"/>
      <c r="E32" s="38" t="e">
        <f t="shared" si="2"/>
        <v>#DIV/0!</v>
      </c>
      <c r="F32" s="38" t="e">
        <f t="shared" si="3"/>
        <v>#DIV/0!</v>
      </c>
      <c r="G32" s="131"/>
      <c r="H32" s="37"/>
    </row>
    <row r="33" spans="1:9" s="6" customFormat="1" ht="17.25" customHeight="1" x14ac:dyDescent="0.2">
      <c r="A33" s="32" t="s">
        <v>42</v>
      </c>
      <c r="B33" s="33" t="s">
        <v>43</v>
      </c>
      <c r="C33" s="18">
        <f>SUM(C34:C35)</f>
        <v>0</v>
      </c>
      <c r="D33" s="18">
        <f>SUM(D34:D35)</f>
        <v>0</v>
      </c>
      <c r="E33" s="19" t="e">
        <f t="shared" si="2"/>
        <v>#DIV/0!</v>
      </c>
      <c r="F33" s="19" t="e">
        <f t="shared" si="3"/>
        <v>#DIV/0!</v>
      </c>
      <c r="G33" s="130"/>
      <c r="H33" s="18">
        <f>SUM(H34:H35)</f>
        <v>0</v>
      </c>
      <c r="I33" s="7">
        <f>SUM(I34:I35)</f>
        <v>1710000</v>
      </c>
    </row>
    <row r="34" spans="1:9" ht="17.25" customHeight="1" x14ac:dyDescent="0.2">
      <c r="A34" s="34" t="s">
        <v>44</v>
      </c>
      <c r="B34" s="35" t="s">
        <v>45</v>
      </c>
      <c r="C34" s="37"/>
      <c r="D34" s="37">
        <v>0</v>
      </c>
      <c r="E34" s="38" t="e">
        <f t="shared" si="2"/>
        <v>#DIV/0!</v>
      </c>
      <c r="F34" s="38" t="e">
        <f t="shared" si="3"/>
        <v>#DIV/0!</v>
      </c>
      <c r="G34" s="131"/>
      <c r="H34" s="37"/>
    </row>
    <row r="35" spans="1:9" ht="17.25" customHeight="1" x14ac:dyDescent="0.2">
      <c r="A35" s="34" t="s">
        <v>46</v>
      </c>
      <c r="B35" s="35" t="s">
        <v>47</v>
      </c>
      <c r="C35" s="37"/>
      <c r="D35" s="18">
        <v>0</v>
      </c>
      <c r="E35" s="38" t="e">
        <f t="shared" si="2"/>
        <v>#DIV/0!</v>
      </c>
      <c r="F35" s="38">
        <v>0</v>
      </c>
      <c r="G35" s="131"/>
      <c r="H35" s="37"/>
      <c r="I35" s="1">
        <v>1710000</v>
      </c>
    </row>
    <row r="36" spans="1:9" s="6" customFormat="1" ht="17.25" customHeight="1" x14ac:dyDescent="0.2">
      <c r="A36" s="32" t="s">
        <v>48</v>
      </c>
      <c r="B36" s="33" t="s">
        <v>49</v>
      </c>
      <c r="C36" s="18">
        <f>SUM(C37:C40)</f>
        <v>131858500</v>
      </c>
      <c r="D36" s="18">
        <f t="shared" ref="D36" si="6">SUM(D37:D40)</f>
        <v>136356403</v>
      </c>
      <c r="E36" s="19">
        <f t="shared" si="2"/>
        <v>1.0341115893173365</v>
      </c>
      <c r="F36" s="19">
        <f t="shared" si="3"/>
        <v>1.0439693155920931</v>
      </c>
      <c r="G36" s="130"/>
      <c r="H36" s="18">
        <f>SUM(H37:H40)</f>
        <v>131858500</v>
      </c>
      <c r="I36" s="7">
        <f>SUM(I37:I40)</f>
        <v>137656228</v>
      </c>
    </row>
    <row r="37" spans="1:9" ht="17.25" customHeight="1" x14ac:dyDescent="0.2">
      <c r="A37" s="34" t="s">
        <v>50</v>
      </c>
      <c r="B37" s="35" t="s">
        <v>51</v>
      </c>
      <c r="C37" s="37">
        <v>103808946</v>
      </c>
      <c r="D37" s="94">
        <v>98978960</v>
      </c>
      <c r="E37" s="38">
        <f t="shared" si="2"/>
        <v>0.95347235295116084</v>
      </c>
      <c r="F37" s="38">
        <f t="shared" si="3"/>
        <v>0.99924980453996715</v>
      </c>
      <c r="G37" s="131"/>
      <c r="H37" s="37">
        <v>103808946</v>
      </c>
      <c r="I37" s="1">
        <v>103731069</v>
      </c>
    </row>
    <row r="38" spans="1:9" ht="17.25" customHeight="1" x14ac:dyDescent="0.2">
      <c r="A38" s="34" t="s">
        <v>52</v>
      </c>
      <c r="B38" s="35" t="s">
        <v>53</v>
      </c>
      <c r="C38" s="37">
        <v>15367991</v>
      </c>
      <c r="D38" s="94">
        <v>19255061</v>
      </c>
      <c r="E38" s="38">
        <f t="shared" si="2"/>
        <v>1.2529328654604235</v>
      </c>
      <c r="F38" s="38">
        <f t="shared" si="3"/>
        <v>1.1568398237609587</v>
      </c>
      <c r="G38" s="131"/>
      <c r="H38" s="37">
        <v>15367991</v>
      </c>
      <c r="I38" s="1">
        <v>17778304</v>
      </c>
    </row>
    <row r="39" spans="1:9" ht="17.25" customHeight="1" x14ac:dyDescent="0.2">
      <c r="A39" s="34" t="s">
        <v>54</v>
      </c>
      <c r="B39" s="35" t="s">
        <v>55</v>
      </c>
      <c r="C39" s="37">
        <v>6312914</v>
      </c>
      <c r="D39" s="94">
        <v>11920043</v>
      </c>
      <c r="E39" s="38">
        <f t="shared" si="2"/>
        <v>1.888199807569056</v>
      </c>
      <c r="F39" s="38">
        <f t="shared" si="3"/>
        <v>1.6483687248075929</v>
      </c>
      <c r="G39" s="131"/>
      <c r="H39" s="37">
        <v>6312914</v>
      </c>
      <c r="I39" s="1">
        <v>10406010</v>
      </c>
    </row>
    <row r="40" spans="1:9" ht="17.25" customHeight="1" x14ac:dyDescent="0.2">
      <c r="A40" s="34" t="s">
        <v>56</v>
      </c>
      <c r="B40" s="35" t="s">
        <v>57</v>
      </c>
      <c r="C40" s="37">
        <v>6368649</v>
      </c>
      <c r="D40" s="94">
        <v>6202339</v>
      </c>
      <c r="E40" s="38">
        <f t="shared" si="2"/>
        <v>0.97388614131505757</v>
      </c>
      <c r="F40" s="38">
        <f t="shared" si="3"/>
        <v>0.90142273502590586</v>
      </c>
      <c r="G40" s="131"/>
      <c r="H40" s="37">
        <v>6368649</v>
      </c>
      <c r="I40" s="1">
        <v>5740845</v>
      </c>
    </row>
    <row r="41" spans="1:9" s="6" customFormat="1" ht="17.25" customHeight="1" x14ac:dyDescent="0.2">
      <c r="A41" s="46" t="s">
        <v>58</v>
      </c>
      <c r="B41" s="47" t="s">
        <v>59</v>
      </c>
      <c r="C41" s="18">
        <f>C42</f>
        <v>3000000</v>
      </c>
      <c r="D41" s="18">
        <f>D42</f>
        <v>171666667</v>
      </c>
      <c r="E41" s="19">
        <f>D41/C41</f>
        <v>57.222222333333335</v>
      </c>
      <c r="F41" s="19">
        <v>0</v>
      </c>
      <c r="G41" s="130"/>
      <c r="H41" s="18">
        <f>H42</f>
        <v>3000000</v>
      </c>
      <c r="I41" s="7">
        <v>0</v>
      </c>
    </row>
    <row r="42" spans="1:9" ht="17.25" customHeight="1" x14ac:dyDescent="0.2">
      <c r="A42" s="34" t="s">
        <v>60</v>
      </c>
      <c r="B42" s="35" t="s">
        <v>61</v>
      </c>
      <c r="C42" s="37">
        <v>3000000</v>
      </c>
      <c r="D42" s="95">
        <v>171666667</v>
      </c>
      <c r="E42" s="38">
        <f>D42/C42</f>
        <v>57.222222333333335</v>
      </c>
      <c r="F42" s="38">
        <v>0</v>
      </c>
      <c r="G42" s="131"/>
      <c r="H42" s="37">
        <v>3000000</v>
      </c>
      <c r="I42" s="1">
        <v>166664000</v>
      </c>
    </row>
    <row r="43" spans="1:9" s="31" customFormat="1" ht="17.25" customHeight="1" x14ac:dyDescent="0.25">
      <c r="A43" s="48" t="s">
        <v>62</v>
      </c>
      <c r="B43" s="49"/>
      <c r="C43" s="50">
        <f>C44+C49+C53+C58+C62+C68+C72+C78+C81</f>
        <v>187494000</v>
      </c>
      <c r="D43" s="50">
        <f>D44+D49+D53+D58+D62+D68+D72+D78+D81</f>
        <v>265770722</v>
      </c>
      <c r="E43" s="51">
        <f t="shared" si="2"/>
        <v>1.417489210321397</v>
      </c>
      <c r="F43" s="52">
        <f t="shared" si="3"/>
        <v>0.91319748898631425</v>
      </c>
      <c r="G43" s="138"/>
      <c r="H43" s="50">
        <f>H44+H49+H53+H58+H62+H68+H72+H78+H81</f>
        <v>187494000</v>
      </c>
      <c r="I43" s="30">
        <f>I44+I49+I53+I58+I62+I68+I72+I81</f>
        <v>171219050</v>
      </c>
    </row>
    <row r="44" spans="1:9" s="6" customFormat="1" ht="17.25" customHeight="1" x14ac:dyDescent="0.2">
      <c r="A44" s="32" t="s">
        <v>63</v>
      </c>
      <c r="B44" s="33" t="s">
        <v>64</v>
      </c>
      <c r="C44" s="18">
        <f>SUM(C45:C48)</f>
        <v>38100000</v>
      </c>
      <c r="D44" s="18">
        <f t="shared" ref="D44" si="7">SUM(D45:D48)</f>
        <v>16801790</v>
      </c>
      <c r="E44" s="19">
        <f t="shared" si="2"/>
        <v>0.44099186351706038</v>
      </c>
      <c r="F44" s="19">
        <f t="shared" si="3"/>
        <v>0.38468464566929134</v>
      </c>
      <c r="G44" s="130"/>
      <c r="H44" s="18">
        <f>SUM(H45:H48)</f>
        <v>38100000</v>
      </c>
      <c r="I44" s="7">
        <f>SUM(I45:I48)</f>
        <v>14656485</v>
      </c>
    </row>
    <row r="45" spans="1:9" ht="17.25" customHeight="1" x14ac:dyDescent="0.2">
      <c r="A45" s="34" t="s">
        <v>65</v>
      </c>
      <c r="B45" s="35" t="s">
        <v>66</v>
      </c>
      <c r="C45" s="37">
        <v>31500000</v>
      </c>
      <c r="D45" s="95">
        <v>14639790</v>
      </c>
      <c r="E45" s="38">
        <f t="shared" si="2"/>
        <v>0.46475523809523811</v>
      </c>
      <c r="F45" s="38">
        <f t="shared" si="3"/>
        <v>0.44696142857142857</v>
      </c>
      <c r="G45" s="131"/>
      <c r="H45" s="37">
        <v>31500000</v>
      </c>
      <c r="I45" s="1">
        <v>14079285</v>
      </c>
    </row>
    <row r="46" spans="1:9" ht="17.25" customHeight="1" x14ac:dyDescent="0.2">
      <c r="A46" s="34" t="s">
        <v>67</v>
      </c>
      <c r="B46" s="35" t="s">
        <v>68</v>
      </c>
      <c r="C46" s="37">
        <v>3000000</v>
      </c>
      <c r="D46" s="95">
        <v>962000</v>
      </c>
      <c r="E46" s="38">
        <f t="shared" si="2"/>
        <v>0.32066666666666666</v>
      </c>
      <c r="F46" s="38">
        <f t="shared" si="3"/>
        <v>0.19239999999999999</v>
      </c>
      <c r="G46" s="131"/>
      <c r="H46" s="37">
        <v>3000000</v>
      </c>
      <c r="I46" s="1">
        <v>577200</v>
      </c>
    </row>
    <row r="47" spans="1:9" ht="17.25" customHeight="1" x14ac:dyDescent="0.2">
      <c r="A47" s="34" t="s">
        <v>69</v>
      </c>
      <c r="B47" s="35" t="s">
        <v>70</v>
      </c>
      <c r="C47" s="37"/>
      <c r="D47" s="95"/>
      <c r="E47" s="38" t="e">
        <f t="shared" si="2"/>
        <v>#DIV/0!</v>
      </c>
      <c r="F47" s="38">
        <v>0</v>
      </c>
      <c r="G47" s="131"/>
      <c r="H47" s="37"/>
    </row>
    <row r="48" spans="1:9" ht="17.25" customHeight="1" x14ac:dyDescent="0.2">
      <c r="A48" s="34" t="s">
        <v>71</v>
      </c>
      <c r="B48" s="35" t="s">
        <v>72</v>
      </c>
      <c r="C48" s="37">
        <v>3600000</v>
      </c>
      <c r="D48" s="95">
        <v>1200000</v>
      </c>
      <c r="E48" s="38">
        <f t="shared" si="2"/>
        <v>0.33333333333333331</v>
      </c>
      <c r="F48" s="38">
        <f t="shared" si="3"/>
        <v>0</v>
      </c>
      <c r="G48" s="131"/>
      <c r="H48" s="37">
        <v>3600000</v>
      </c>
    </row>
    <row r="49" spans="1:9" s="6" customFormat="1" ht="17.25" customHeight="1" x14ac:dyDescent="0.2">
      <c r="A49" s="32" t="s">
        <v>73</v>
      </c>
      <c r="B49" s="33" t="s">
        <v>74</v>
      </c>
      <c r="C49" s="18">
        <f>SUM(C50:C52)</f>
        <v>29250000</v>
      </c>
      <c r="D49" s="18">
        <f t="shared" ref="D49" si="8">SUM(D50:D52)</f>
        <v>26466000</v>
      </c>
      <c r="E49" s="19">
        <f t="shared" si="2"/>
        <v>0.90482051282051279</v>
      </c>
      <c r="F49" s="19">
        <f t="shared" si="3"/>
        <v>0.59914529914529913</v>
      </c>
      <c r="G49" s="130"/>
      <c r="H49" s="18">
        <f>SUM(H50:H52)</f>
        <v>29250000</v>
      </c>
      <c r="I49" s="7">
        <f>SUM(I50:I52)</f>
        <v>17525000</v>
      </c>
    </row>
    <row r="50" spans="1:9" ht="17.25" customHeight="1" x14ac:dyDescent="0.2">
      <c r="A50" s="34" t="s">
        <v>75</v>
      </c>
      <c r="B50" s="35" t="s">
        <v>76</v>
      </c>
      <c r="C50" s="37">
        <v>4500000</v>
      </c>
      <c r="D50" s="95">
        <v>12457000</v>
      </c>
      <c r="E50" s="38">
        <f t="shared" si="2"/>
        <v>2.7682222222222221</v>
      </c>
      <c r="F50" s="38">
        <f t="shared" si="3"/>
        <v>2.46</v>
      </c>
      <c r="G50" s="131"/>
      <c r="H50" s="37">
        <v>4500000</v>
      </c>
      <c r="I50" s="1">
        <v>11070000</v>
      </c>
    </row>
    <row r="51" spans="1:9" ht="17.25" customHeight="1" x14ac:dyDescent="0.2">
      <c r="A51" s="34" t="s">
        <v>77</v>
      </c>
      <c r="B51" s="35" t="s">
        <v>78</v>
      </c>
      <c r="C51" s="37">
        <v>5000000</v>
      </c>
      <c r="D51" s="95"/>
      <c r="E51" s="38">
        <f t="shared" si="2"/>
        <v>0</v>
      </c>
      <c r="F51" s="38">
        <f t="shared" si="3"/>
        <v>0</v>
      </c>
      <c r="G51" s="131"/>
      <c r="H51" s="37">
        <v>5000000</v>
      </c>
    </row>
    <row r="52" spans="1:9" ht="17.25" customHeight="1" x14ac:dyDescent="0.2">
      <c r="A52" s="34" t="s">
        <v>79</v>
      </c>
      <c r="B52" s="35" t="s">
        <v>80</v>
      </c>
      <c r="C52" s="37">
        <v>19750000</v>
      </c>
      <c r="D52" s="95">
        <v>14009000</v>
      </c>
      <c r="E52" s="38">
        <f t="shared" si="2"/>
        <v>0.7093164556962025</v>
      </c>
      <c r="F52" s="38">
        <f t="shared" si="3"/>
        <v>0.32683544303797468</v>
      </c>
      <c r="G52" s="131"/>
      <c r="H52" s="37">
        <v>19750000</v>
      </c>
      <c r="I52" s="1">
        <v>6455000</v>
      </c>
    </row>
    <row r="53" spans="1:9" s="6" customFormat="1" ht="17.25" customHeight="1" x14ac:dyDescent="0.2">
      <c r="A53" s="32" t="s">
        <v>81</v>
      </c>
      <c r="B53" s="33" t="s">
        <v>82</v>
      </c>
      <c r="C53" s="18">
        <f>SUM(C54:C57)</f>
        <v>6950000</v>
      </c>
      <c r="D53" s="18">
        <f>SUM(D54:D57)</f>
        <v>1728932</v>
      </c>
      <c r="E53" s="19">
        <f t="shared" si="2"/>
        <v>0.24876719424460431</v>
      </c>
      <c r="F53" s="19">
        <f t="shared" si="3"/>
        <v>0.34013884892086332</v>
      </c>
      <c r="G53" s="130"/>
      <c r="H53" s="18">
        <f>SUM(H54:H57)</f>
        <v>6950000</v>
      </c>
      <c r="I53" s="7">
        <f>SUM(I54:I57)</f>
        <v>2363965</v>
      </c>
    </row>
    <row r="54" spans="1:9" ht="17.25" customHeight="1" x14ac:dyDescent="0.2">
      <c r="A54" s="53">
        <v>6601</v>
      </c>
      <c r="B54" s="54" t="s">
        <v>83</v>
      </c>
      <c r="C54" s="37">
        <v>3000000</v>
      </c>
      <c r="D54" s="95">
        <v>378932</v>
      </c>
      <c r="E54" s="38">
        <f t="shared" si="2"/>
        <v>0.12631066666666665</v>
      </c>
      <c r="F54" s="38">
        <f t="shared" si="3"/>
        <v>0.33798833333333334</v>
      </c>
      <c r="G54" s="131"/>
      <c r="H54" s="37">
        <v>3000000</v>
      </c>
      <c r="I54" s="1">
        <v>1013965</v>
      </c>
    </row>
    <row r="55" spans="1:9" ht="17.25" customHeight="1" x14ac:dyDescent="0.2">
      <c r="A55" s="53">
        <v>6605</v>
      </c>
      <c r="B55" s="54" t="s">
        <v>84</v>
      </c>
      <c r="C55" s="37">
        <v>1100000</v>
      </c>
      <c r="D55" s="95"/>
      <c r="E55" s="38">
        <f t="shared" si="2"/>
        <v>0</v>
      </c>
      <c r="F55" s="38">
        <v>0</v>
      </c>
      <c r="G55" s="131"/>
      <c r="H55" s="37">
        <v>1100000</v>
      </c>
    </row>
    <row r="56" spans="1:9" ht="17.25" customHeight="1" x14ac:dyDescent="0.2">
      <c r="A56" s="53">
        <v>6608</v>
      </c>
      <c r="B56" s="54" t="s">
        <v>85</v>
      </c>
      <c r="C56" s="37">
        <v>1500000</v>
      </c>
      <c r="D56" s="95"/>
      <c r="E56" s="38">
        <f t="shared" si="2"/>
        <v>0</v>
      </c>
      <c r="F56" s="38">
        <v>0</v>
      </c>
      <c r="G56" s="131"/>
      <c r="H56" s="37">
        <v>1500000</v>
      </c>
    </row>
    <row r="57" spans="1:9" ht="17.25" customHeight="1" x14ac:dyDescent="0.2">
      <c r="A57" s="53">
        <v>6618</v>
      </c>
      <c r="B57" s="54" t="s">
        <v>86</v>
      </c>
      <c r="C57" s="37">
        <v>1350000</v>
      </c>
      <c r="D57" s="95">
        <v>1350000</v>
      </c>
      <c r="E57" s="38">
        <f t="shared" si="2"/>
        <v>1</v>
      </c>
      <c r="F57" s="38">
        <v>0</v>
      </c>
      <c r="G57" s="131"/>
      <c r="H57" s="37">
        <v>1350000</v>
      </c>
      <c r="I57" s="1">
        <v>1350000</v>
      </c>
    </row>
    <row r="58" spans="1:9" s="6" customFormat="1" ht="17.25" customHeight="1" x14ac:dyDescent="0.2">
      <c r="A58" s="32" t="s">
        <v>87</v>
      </c>
      <c r="B58" s="33" t="s">
        <v>88</v>
      </c>
      <c r="C58" s="18">
        <f>SUM(C59:C61)</f>
        <v>0</v>
      </c>
      <c r="D58" s="18">
        <f>SUM(D59:D61)</f>
        <v>965000</v>
      </c>
      <c r="E58" s="19" t="e">
        <f t="shared" si="2"/>
        <v>#DIV/0!</v>
      </c>
      <c r="F58" s="19" t="e">
        <f t="shared" si="3"/>
        <v>#DIV/0!</v>
      </c>
      <c r="G58" s="130"/>
      <c r="H58" s="18">
        <f>SUM(H59:H61)</f>
        <v>0</v>
      </c>
      <c r="I58" s="7">
        <f>SUM(I59:I61)</f>
        <v>7250000</v>
      </c>
    </row>
    <row r="59" spans="1:9" ht="17.25" customHeight="1" x14ac:dyDescent="0.2">
      <c r="A59" s="34" t="s">
        <v>89</v>
      </c>
      <c r="B59" s="35" t="s">
        <v>90</v>
      </c>
      <c r="C59" s="37"/>
      <c r="D59" s="95">
        <v>400000</v>
      </c>
      <c r="E59" s="38">
        <v>0</v>
      </c>
      <c r="F59" s="38">
        <v>0</v>
      </c>
      <c r="G59" s="131"/>
      <c r="H59" s="37"/>
    </row>
    <row r="60" spans="1:9" ht="17.25" customHeight="1" x14ac:dyDescent="0.2">
      <c r="A60" s="34" t="s">
        <v>91</v>
      </c>
      <c r="B60" s="35" t="s">
        <v>92</v>
      </c>
      <c r="C60" s="37"/>
      <c r="D60" s="96"/>
      <c r="E60" s="38">
        <v>0</v>
      </c>
      <c r="F60" s="38">
        <v>0</v>
      </c>
      <c r="G60" s="131"/>
      <c r="H60" s="37"/>
      <c r="I60" s="1">
        <v>4000000</v>
      </c>
    </row>
    <row r="61" spans="1:9" ht="17.25" customHeight="1" x14ac:dyDescent="0.2">
      <c r="A61" s="34" t="s">
        <v>91</v>
      </c>
      <c r="B61" s="35" t="s">
        <v>93</v>
      </c>
      <c r="C61" s="37"/>
      <c r="D61" s="95">
        <v>565000</v>
      </c>
      <c r="E61" s="38" t="e">
        <f t="shared" si="2"/>
        <v>#DIV/0!</v>
      </c>
      <c r="F61" s="38" t="e">
        <f t="shared" si="3"/>
        <v>#DIV/0!</v>
      </c>
      <c r="G61" s="131"/>
      <c r="H61" s="37"/>
      <c r="I61" s="1">
        <v>3250000</v>
      </c>
    </row>
    <row r="62" spans="1:9" s="6" customFormat="1" ht="17.25" customHeight="1" x14ac:dyDescent="0.2">
      <c r="A62" s="32" t="s">
        <v>94</v>
      </c>
      <c r="B62" s="33" t="s">
        <v>95</v>
      </c>
      <c r="C62" s="18">
        <f>SUM(C63:C67)</f>
        <v>24000000</v>
      </c>
      <c r="D62" s="18">
        <f t="shared" ref="D62" si="9">SUM(D63:D67)</f>
        <v>14904000</v>
      </c>
      <c r="E62" s="19">
        <f t="shared" si="2"/>
        <v>0.621</v>
      </c>
      <c r="F62" s="19">
        <f t="shared" si="3"/>
        <v>0.51737500000000003</v>
      </c>
      <c r="G62" s="130"/>
      <c r="H62" s="18">
        <f>SUM(H63:H67)</f>
        <v>24000000</v>
      </c>
      <c r="I62" s="7">
        <f>SUM(I63:I67)</f>
        <v>12417000</v>
      </c>
    </row>
    <row r="63" spans="1:9" ht="17.25" customHeight="1" x14ac:dyDescent="0.2">
      <c r="A63" s="34" t="s">
        <v>96</v>
      </c>
      <c r="B63" s="35" t="s">
        <v>97</v>
      </c>
      <c r="C63" s="37">
        <v>1250000</v>
      </c>
      <c r="D63" s="95">
        <v>1919000</v>
      </c>
      <c r="E63" s="38">
        <f t="shared" si="2"/>
        <v>1.5351999999999999</v>
      </c>
      <c r="F63" s="38">
        <f t="shared" si="3"/>
        <v>0.77359999999999995</v>
      </c>
      <c r="G63" s="131"/>
      <c r="H63" s="37">
        <v>1250000</v>
      </c>
      <c r="I63" s="1">
        <v>967000</v>
      </c>
    </row>
    <row r="64" spans="1:9" ht="17.25" customHeight="1" x14ac:dyDescent="0.2">
      <c r="A64" s="34" t="s">
        <v>98</v>
      </c>
      <c r="B64" s="35" t="s">
        <v>99</v>
      </c>
      <c r="C64" s="37">
        <v>7750000</v>
      </c>
      <c r="D64" s="95">
        <v>8085000</v>
      </c>
      <c r="E64" s="38">
        <f t="shared" si="2"/>
        <v>1.0432258064516129</v>
      </c>
      <c r="F64" s="38">
        <f t="shared" si="3"/>
        <v>0.61290322580645162</v>
      </c>
      <c r="G64" s="131"/>
      <c r="H64" s="37">
        <v>7750000</v>
      </c>
      <c r="I64" s="1">
        <v>4750000</v>
      </c>
    </row>
    <row r="65" spans="1:9" ht="17.25" customHeight="1" x14ac:dyDescent="0.2">
      <c r="A65" s="34" t="s">
        <v>100</v>
      </c>
      <c r="B65" s="35" t="s">
        <v>101</v>
      </c>
      <c r="C65" s="37">
        <v>5000000</v>
      </c>
      <c r="D65" s="95">
        <v>200000</v>
      </c>
      <c r="E65" s="38">
        <f t="shared" si="2"/>
        <v>0.04</v>
      </c>
      <c r="F65" s="38">
        <f t="shared" si="3"/>
        <v>0.32</v>
      </c>
      <c r="G65" s="131"/>
      <c r="H65" s="37">
        <v>5000000</v>
      </c>
      <c r="I65" s="1">
        <v>1600000</v>
      </c>
    </row>
    <row r="66" spans="1:9" ht="17.25" customHeight="1" x14ac:dyDescent="0.2">
      <c r="A66" s="34" t="s">
        <v>102</v>
      </c>
      <c r="B66" s="35" t="s">
        <v>103</v>
      </c>
      <c r="C66" s="37">
        <v>10000000</v>
      </c>
      <c r="D66" s="95">
        <v>4500000</v>
      </c>
      <c r="E66" s="38">
        <f t="shared" si="2"/>
        <v>0.45</v>
      </c>
      <c r="F66" s="38">
        <f t="shared" si="3"/>
        <v>0.51</v>
      </c>
      <c r="G66" s="131"/>
      <c r="H66" s="37">
        <v>10000000</v>
      </c>
      <c r="I66" s="1">
        <v>5100000</v>
      </c>
    </row>
    <row r="67" spans="1:9" ht="17.25" customHeight="1" x14ac:dyDescent="0.25">
      <c r="A67" s="34" t="s">
        <v>104</v>
      </c>
      <c r="B67" s="35" t="s">
        <v>105</v>
      </c>
      <c r="C67" s="37"/>
      <c r="D67" s="97">
        <v>200000</v>
      </c>
      <c r="E67" s="38">
        <v>0</v>
      </c>
      <c r="F67" s="38" t="e">
        <f t="shared" si="3"/>
        <v>#DIV/0!</v>
      </c>
      <c r="G67" s="131"/>
      <c r="H67" s="37"/>
    </row>
    <row r="68" spans="1:9" s="6" customFormat="1" ht="17.25" customHeight="1" x14ac:dyDescent="0.2">
      <c r="A68" s="32" t="s">
        <v>106</v>
      </c>
      <c r="B68" s="33" t="s">
        <v>107</v>
      </c>
      <c r="C68" s="18">
        <f>SUM(C69:C71)</f>
        <v>4000000</v>
      </c>
      <c r="D68" s="18">
        <f t="shared" ref="D68" si="10">SUM(D69:D71)</f>
        <v>3500000</v>
      </c>
      <c r="E68" s="19">
        <f t="shared" si="2"/>
        <v>0.875</v>
      </c>
      <c r="F68" s="19">
        <f t="shared" si="3"/>
        <v>0.76249999999999996</v>
      </c>
      <c r="G68" s="130"/>
      <c r="H68" s="18">
        <f>SUM(H69:H71)</f>
        <v>4000000</v>
      </c>
      <c r="I68" s="7">
        <f>SUM(I69:I71)</f>
        <v>3050000</v>
      </c>
    </row>
    <row r="69" spans="1:9" ht="17.25" customHeight="1" x14ac:dyDescent="0.25">
      <c r="A69" s="34" t="s">
        <v>108</v>
      </c>
      <c r="B69" s="35" t="s">
        <v>109</v>
      </c>
      <c r="C69" s="37"/>
      <c r="D69" s="97"/>
      <c r="E69" s="38" t="e">
        <f t="shared" si="2"/>
        <v>#DIV/0!</v>
      </c>
      <c r="F69" s="38">
        <v>0</v>
      </c>
      <c r="G69" s="131"/>
      <c r="H69" s="37"/>
      <c r="I69" s="1">
        <v>3050000</v>
      </c>
    </row>
    <row r="70" spans="1:9" ht="17.25" customHeight="1" x14ac:dyDescent="0.25">
      <c r="A70" s="34" t="s">
        <v>110</v>
      </c>
      <c r="B70" s="35" t="s">
        <v>111</v>
      </c>
      <c r="C70" s="37"/>
      <c r="D70" s="97"/>
      <c r="E70" s="38" t="e">
        <f t="shared" si="2"/>
        <v>#DIV/0!</v>
      </c>
      <c r="F70" s="38">
        <v>0</v>
      </c>
      <c r="G70" s="131"/>
      <c r="H70" s="37"/>
    </row>
    <row r="71" spans="1:9" ht="17.25" customHeight="1" x14ac:dyDescent="0.2">
      <c r="A71" s="34" t="s">
        <v>112</v>
      </c>
      <c r="B71" s="55" t="s">
        <v>113</v>
      </c>
      <c r="C71" s="37">
        <v>4000000</v>
      </c>
      <c r="D71" s="95">
        <v>3500000</v>
      </c>
      <c r="E71" s="38">
        <v>0</v>
      </c>
      <c r="F71" s="38">
        <v>0</v>
      </c>
      <c r="G71" s="131"/>
      <c r="H71" s="37">
        <v>4000000</v>
      </c>
    </row>
    <row r="72" spans="1:9" s="6" customFormat="1" ht="17.25" customHeight="1" x14ac:dyDescent="0.2">
      <c r="A72" s="32" t="s">
        <v>114</v>
      </c>
      <c r="B72" s="33" t="s">
        <v>115</v>
      </c>
      <c r="C72" s="18">
        <f>SUM(C73:C77)</f>
        <v>48500000</v>
      </c>
      <c r="D72" s="18">
        <f>SUM(D73:D80)</f>
        <v>63984000</v>
      </c>
      <c r="E72" s="19">
        <f t="shared" si="2"/>
        <v>1.3192577319587628</v>
      </c>
      <c r="F72" s="19">
        <f t="shared" si="3"/>
        <v>0.9975876288659794</v>
      </c>
      <c r="G72" s="130"/>
      <c r="H72" s="18">
        <f>SUM(H73:H77)</f>
        <v>48500000</v>
      </c>
      <c r="I72" s="7">
        <f>SUM(I73:I77)</f>
        <v>48383000</v>
      </c>
    </row>
    <row r="73" spans="1:9" ht="17.25" customHeight="1" x14ac:dyDescent="0.2">
      <c r="A73" s="56" t="s">
        <v>116</v>
      </c>
      <c r="B73" s="57" t="s">
        <v>117</v>
      </c>
      <c r="C73" s="37">
        <v>6250000</v>
      </c>
      <c r="D73" s="96"/>
      <c r="E73" s="38">
        <f t="shared" si="2"/>
        <v>0</v>
      </c>
      <c r="F73" s="38">
        <f t="shared" si="3"/>
        <v>0</v>
      </c>
      <c r="G73" s="131"/>
      <c r="H73" s="37">
        <v>6250000</v>
      </c>
    </row>
    <row r="74" spans="1:9" ht="17.25" customHeight="1" x14ac:dyDescent="0.2">
      <c r="A74" s="58">
        <v>6912</v>
      </c>
      <c r="B74" s="57" t="s">
        <v>118</v>
      </c>
      <c r="C74" s="37">
        <v>6250000</v>
      </c>
      <c r="D74" s="95">
        <v>12900000</v>
      </c>
      <c r="E74" s="38">
        <f t="shared" si="2"/>
        <v>2.0640000000000001</v>
      </c>
      <c r="F74" s="38">
        <f t="shared" si="3"/>
        <v>3.2028799999999999</v>
      </c>
      <c r="G74" s="131"/>
      <c r="H74" s="37">
        <v>6250000</v>
      </c>
      <c r="I74" s="1">
        <v>20018000</v>
      </c>
    </row>
    <row r="75" spans="1:9" ht="38.25" customHeight="1" x14ac:dyDescent="0.2">
      <c r="A75" s="59">
        <v>6913</v>
      </c>
      <c r="B75" s="60" t="s">
        <v>119</v>
      </c>
      <c r="C75" s="37">
        <v>8250000</v>
      </c>
      <c r="D75" s="95">
        <v>11200000</v>
      </c>
      <c r="E75" s="38">
        <f t="shared" si="2"/>
        <v>1.3575757575757577</v>
      </c>
      <c r="F75" s="38">
        <v>0</v>
      </c>
      <c r="G75" s="131"/>
      <c r="H75" s="37">
        <v>8250000</v>
      </c>
      <c r="I75" s="1">
        <v>4200000</v>
      </c>
    </row>
    <row r="76" spans="1:9" ht="17.25" customHeight="1" x14ac:dyDescent="0.2">
      <c r="A76" s="58">
        <v>6921</v>
      </c>
      <c r="B76" s="57" t="s">
        <v>120</v>
      </c>
      <c r="C76" s="37"/>
      <c r="D76" s="95"/>
      <c r="E76" s="38" t="e">
        <f t="shared" si="2"/>
        <v>#DIV/0!</v>
      </c>
      <c r="F76" s="38" t="e">
        <f t="shared" si="3"/>
        <v>#DIV/0!</v>
      </c>
      <c r="G76" s="131"/>
      <c r="H76" s="37"/>
      <c r="I76" s="1">
        <v>4950000</v>
      </c>
    </row>
    <row r="77" spans="1:9" ht="17.25" customHeight="1" x14ac:dyDescent="0.2">
      <c r="A77" s="58">
        <v>6949</v>
      </c>
      <c r="B77" s="57" t="s">
        <v>121</v>
      </c>
      <c r="C77" s="37">
        <f>18000000+9750000</f>
        <v>27750000</v>
      </c>
      <c r="D77" s="95">
        <v>39884000</v>
      </c>
      <c r="E77" s="38">
        <f t="shared" si="2"/>
        <v>1.4372612612612612</v>
      </c>
      <c r="F77" s="38">
        <v>0</v>
      </c>
      <c r="G77" s="131"/>
      <c r="H77" s="37">
        <f>18000000+9750000</f>
        <v>27750000</v>
      </c>
      <c r="I77" s="1">
        <v>19215000</v>
      </c>
    </row>
    <row r="78" spans="1:9" s="6" customFormat="1" ht="17.25" customHeight="1" x14ac:dyDescent="0.2">
      <c r="A78" s="61">
        <v>6950</v>
      </c>
      <c r="B78" s="62" t="s">
        <v>122</v>
      </c>
      <c r="C78" s="18">
        <f>SUM(C79:C80)</f>
        <v>0</v>
      </c>
      <c r="D78" s="18">
        <f>SUM(D79:D80)</f>
        <v>0</v>
      </c>
      <c r="E78" s="19" t="e">
        <f>D78/C78</f>
        <v>#DIV/0!</v>
      </c>
      <c r="F78" s="19">
        <v>0</v>
      </c>
      <c r="G78" s="130"/>
      <c r="H78" s="18">
        <f>SUM(H79:H80)</f>
        <v>0</v>
      </c>
      <c r="I78" s="7"/>
    </row>
    <row r="79" spans="1:9" ht="17.25" customHeight="1" x14ac:dyDescent="0.2">
      <c r="A79" s="53">
        <v>6999</v>
      </c>
      <c r="B79" s="63" t="s">
        <v>123</v>
      </c>
      <c r="C79" s="37"/>
      <c r="D79" s="37"/>
      <c r="E79" s="38">
        <v>0</v>
      </c>
      <c r="F79" s="38">
        <v>0</v>
      </c>
      <c r="G79" s="131"/>
      <c r="H79" s="37"/>
    </row>
    <row r="80" spans="1:9" ht="17.25" customHeight="1" x14ac:dyDescent="0.2">
      <c r="A80" s="53">
        <v>6999</v>
      </c>
      <c r="B80" s="63" t="s">
        <v>124</v>
      </c>
      <c r="C80" s="37"/>
      <c r="D80" s="37"/>
      <c r="E80" s="38">
        <v>0</v>
      </c>
      <c r="F80" s="38">
        <v>0</v>
      </c>
      <c r="G80" s="131"/>
      <c r="H80" s="37"/>
    </row>
    <row r="81" spans="1:9" s="6" customFormat="1" ht="17.25" customHeight="1" x14ac:dyDescent="0.2">
      <c r="A81" s="32" t="s">
        <v>125</v>
      </c>
      <c r="B81" s="33" t="s">
        <v>126</v>
      </c>
      <c r="C81" s="18">
        <f>SUM(C82:C89)</f>
        <v>36694000</v>
      </c>
      <c r="D81" s="18">
        <f>SUM(D82:D89)</f>
        <v>137421000</v>
      </c>
      <c r="E81" s="19">
        <f t="shared" si="2"/>
        <v>3.7450536872513216</v>
      </c>
      <c r="F81" s="19">
        <f t="shared" si="3"/>
        <v>1.7870387529296343</v>
      </c>
      <c r="G81" s="130"/>
      <c r="H81" s="18">
        <f>SUM(H82:H89)</f>
        <v>36694000</v>
      </c>
      <c r="I81" s="7">
        <f>SUM(I82:I89)</f>
        <v>65573600</v>
      </c>
    </row>
    <row r="82" spans="1:9" ht="17.25" customHeight="1" x14ac:dyDescent="0.2">
      <c r="A82" s="56" t="s">
        <v>127</v>
      </c>
      <c r="B82" s="64" t="s">
        <v>128</v>
      </c>
      <c r="C82" s="37">
        <v>3694000</v>
      </c>
      <c r="D82" s="95">
        <v>9167000</v>
      </c>
      <c r="E82" s="38">
        <f t="shared" si="2"/>
        <v>2.4815917704385488</v>
      </c>
      <c r="F82" s="38">
        <f t="shared" si="3"/>
        <v>0.6307525717379534</v>
      </c>
      <c r="G82" s="131"/>
      <c r="H82" s="37">
        <v>3694000</v>
      </c>
      <c r="I82" s="1">
        <v>2330000</v>
      </c>
    </row>
    <row r="83" spans="1:9" ht="17.25" customHeight="1" x14ac:dyDescent="0.2">
      <c r="A83" s="65" t="s">
        <v>129</v>
      </c>
      <c r="B83" s="54" t="s">
        <v>130</v>
      </c>
      <c r="C83" s="37"/>
      <c r="D83" s="95"/>
      <c r="E83" s="38" t="e">
        <f t="shared" ref="E83:E135" si="11">(D83/C83)</f>
        <v>#DIV/0!</v>
      </c>
      <c r="F83" s="38">
        <v>0</v>
      </c>
      <c r="G83" s="131"/>
      <c r="H83" s="37"/>
    </row>
    <row r="84" spans="1:9" ht="24.75" customHeight="1" x14ac:dyDescent="0.2">
      <c r="A84" s="66" t="s">
        <v>131</v>
      </c>
      <c r="B84" s="67" t="s">
        <v>132</v>
      </c>
      <c r="C84" s="37"/>
      <c r="D84" s="95"/>
      <c r="E84" s="38" t="e">
        <f t="shared" si="11"/>
        <v>#DIV/0!</v>
      </c>
      <c r="F84" s="38" t="e">
        <f t="shared" ref="F84:F138" si="12">(I84/H84)</f>
        <v>#DIV/0!</v>
      </c>
      <c r="G84" s="131"/>
      <c r="H84" s="37"/>
    </row>
    <row r="85" spans="1:9" s="111" customFormat="1" ht="17.25" customHeight="1" x14ac:dyDescent="0.2">
      <c r="A85" s="106" t="s">
        <v>133</v>
      </c>
      <c r="B85" s="107" t="s">
        <v>134</v>
      </c>
      <c r="C85" s="108">
        <v>23000000</v>
      </c>
      <c r="D85" s="108"/>
      <c r="E85" s="109">
        <f t="shared" si="11"/>
        <v>0</v>
      </c>
      <c r="F85" s="109">
        <v>0</v>
      </c>
      <c r="G85" s="139"/>
      <c r="H85" s="108">
        <v>23000000</v>
      </c>
      <c r="I85" s="110"/>
    </row>
    <row r="86" spans="1:9" s="111" customFormat="1" ht="17.25" customHeight="1" x14ac:dyDescent="0.2">
      <c r="A86" s="106" t="s">
        <v>133</v>
      </c>
      <c r="B86" s="112" t="s">
        <v>135</v>
      </c>
      <c r="C86" s="108"/>
      <c r="D86" s="95">
        <v>86206000</v>
      </c>
      <c r="E86" s="109" t="e">
        <f t="shared" si="11"/>
        <v>#DIV/0!</v>
      </c>
      <c r="F86" s="109">
        <v>0</v>
      </c>
      <c r="G86" s="139"/>
      <c r="H86" s="108"/>
      <c r="I86" s="110">
        <v>63243600</v>
      </c>
    </row>
    <row r="87" spans="1:9" s="111" customFormat="1" ht="17.25" customHeight="1" x14ac:dyDescent="0.2">
      <c r="A87" s="113" t="s">
        <v>133</v>
      </c>
      <c r="B87" s="114" t="s">
        <v>136</v>
      </c>
      <c r="C87" s="108">
        <v>10000000</v>
      </c>
      <c r="D87" s="108">
        <v>42048000</v>
      </c>
      <c r="E87" s="109">
        <v>0</v>
      </c>
      <c r="F87" s="109">
        <v>0</v>
      </c>
      <c r="G87" s="139"/>
      <c r="H87" s="108">
        <v>10000000</v>
      </c>
      <c r="I87" s="110"/>
    </row>
    <row r="88" spans="1:9" s="111" customFormat="1" ht="17.25" customHeight="1" x14ac:dyDescent="0.2">
      <c r="A88" s="106" t="s">
        <v>133</v>
      </c>
      <c r="B88" s="114" t="s">
        <v>137</v>
      </c>
      <c r="C88" s="108"/>
      <c r="D88" s="108"/>
      <c r="E88" s="109">
        <v>0</v>
      </c>
      <c r="F88" s="109">
        <v>0</v>
      </c>
      <c r="G88" s="139"/>
      <c r="H88" s="108"/>
      <c r="I88" s="110"/>
    </row>
    <row r="89" spans="1:9" s="111" customFormat="1" ht="17.25" customHeight="1" x14ac:dyDescent="0.2">
      <c r="A89" s="106" t="s">
        <v>133</v>
      </c>
      <c r="B89" s="114" t="s">
        <v>138</v>
      </c>
      <c r="C89" s="108"/>
      <c r="D89" s="108"/>
      <c r="E89" s="109" t="e">
        <f t="shared" si="11"/>
        <v>#DIV/0!</v>
      </c>
      <c r="F89" s="109">
        <v>0</v>
      </c>
      <c r="G89" s="139"/>
      <c r="H89" s="108"/>
      <c r="I89" s="110"/>
    </row>
    <row r="90" spans="1:9" s="31" customFormat="1" ht="17.25" customHeight="1" x14ac:dyDescent="0.25">
      <c r="A90" s="68" t="s">
        <v>139</v>
      </c>
      <c r="B90" s="69"/>
      <c r="C90" s="50">
        <f>C91</f>
        <v>0</v>
      </c>
      <c r="D90" s="50">
        <f>D91+D97</f>
        <v>60203321</v>
      </c>
      <c r="E90" s="51" t="e">
        <f t="shared" si="11"/>
        <v>#DIV/0!</v>
      </c>
      <c r="F90" s="52" t="e">
        <f t="shared" si="12"/>
        <v>#DIV/0!</v>
      </c>
      <c r="G90" s="138"/>
      <c r="H90" s="50">
        <f>H91</f>
        <v>0</v>
      </c>
      <c r="I90" s="30">
        <f>I91</f>
        <v>58424000</v>
      </c>
    </row>
    <row r="91" spans="1:9" s="6" customFormat="1" ht="17.25" customHeight="1" x14ac:dyDescent="0.2">
      <c r="A91" s="46" t="s">
        <v>140</v>
      </c>
      <c r="B91" s="47" t="s">
        <v>93</v>
      </c>
      <c r="C91" s="18">
        <f>SUM(C92:C96)</f>
        <v>0</v>
      </c>
      <c r="D91" s="18">
        <f>SUM(D92:D96)</f>
        <v>25990000</v>
      </c>
      <c r="E91" s="19" t="e">
        <f t="shared" si="11"/>
        <v>#DIV/0!</v>
      </c>
      <c r="F91" s="19" t="e">
        <f t="shared" si="12"/>
        <v>#DIV/0!</v>
      </c>
      <c r="G91" s="130"/>
      <c r="H91" s="18">
        <f>SUM(H92:H96)</f>
        <v>0</v>
      </c>
      <c r="I91" s="7">
        <f>SUM(I92:I96)</f>
        <v>58424000</v>
      </c>
    </row>
    <row r="92" spans="1:9" ht="17.25" customHeight="1" x14ac:dyDescent="0.2">
      <c r="A92" s="65" t="s">
        <v>141</v>
      </c>
      <c r="B92" s="70" t="s">
        <v>142</v>
      </c>
      <c r="C92" s="37"/>
      <c r="D92" s="37"/>
      <c r="E92" s="38" t="e">
        <f>(D92/C92)</f>
        <v>#DIV/0!</v>
      </c>
      <c r="F92" s="38">
        <v>0</v>
      </c>
      <c r="G92" s="131"/>
      <c r="H92" s="37"/>
    </row>
    <row r="93" spans="1:9" ht="17.25" customHeight="1" x14ac:dyDescent="0.2">
      <c r="A93" s="66" t="s">
        <v>143</v>
      </c>
      <c r="B93" s="67" t="s">
        <v>144</v>
      </c>
      <c r="C93" s="37"/>
      <c r="D93" s="95">
        <v>25990000</v>
      </c>
      <c r="E93" s="38">
        <v>0</v>
      </c>
      <c r="F93" s="38">
        <v>0</v>
      </c>
      <c r="G93" s="131"/>
      <c r="H93" s="37"/>
      <c r="I93" s="1">
        <v>37124000</v>
      </c>
    </row>
    <row r="94" spans="1:9" ht="17.25" customHeight="1" x14ac:dyDescent="0.2">
      <c r="A94" s="65" t="s">
        <v>143</v>
      </c>
      <c r="B94" s="54" t="s">
        <v>145</v>
      </c>
      <c r="C94" s="37"/>
      <c r="D94" s="37"/>
      <c r="E94" s="38">
        <v>0</v>
      </c>
      <c r="F94" s="38">
        <v>0</v>
      </c>
      <c r="G94" s="131"/>
      <c r="H94" s="37"/>
    </row>
    <row r="95" spans="1:9" ht="17.25" customHeight="1" x14ac:dyDescent="0.2">
      <c r="A95" s="65" t="s">
        <v>146</v>
      </c>
      <c r="B95" s="54" t="s">
        <v>147</v>
      </c>
      <c r="C95" s="37"/>
      <c r="D95" s="37"/>
      <c r="E95" s="38" t="e">
        <f t="shared" si="11"/>
        <v>#DIV/0!</v>
      </c>
      <c r="F95" s="38">
        <v>0</v>
      </c>
      <c r="G95" s="131"/>
      <c r="H95" s="37"/>
    </row>
    <row r="96" spans="1:9" ht="17.25" customHeight="1" x14ac:dyDescent="0.2">
      <c r="A96" s="65" t="s">
        <v>146</v>
      </c>
      <c r="B96" s="54" t="s">
        <v>148</v>
      </c>
      <c r="C96" s="37"/>
      <c r="D96" s="37"/>
      <c r="E96" s="38" t="e">
        <f t="shared" si="11"/>
        <v>#DIV/0!</v>
      </c>
      <c r="F96" s="38" t="e">
        <f t="shared" si="12"/>
        <v>#DIV/0!</v>
      </c>
      <c r="G96" s="131"/>
      <c r="H96" s="37"/>
      <c r="I96" s="1">
        <v>21300000</v>
      </c>
    </row>
    <row r="97" spans="1:9" s="6" customFormat="1" ht="17.25" customHeight="1" x14ac:dyDescent="0.2">
      <c r="A97" s="46" t="s">
        <v>204</v>
      </c>
      <c r="B97" s="102" t="s">
        <v>199</v>
      </c>
      <c r="C97" s="18">
        <f>SUM(C98:C102)</f>
        <v>0</v>
      </c>
      <c r="D97" s="18">
        <f>SUM(D98:D102)</f>
        <v>34213321</v>
      </c>
      <c r="E97" s="19" t="e">
        <f t="shared" ref="E97" si="13">(D97/C97)</f>
        <v>#DIV/0!</v>
      </c>
      <c r="F97" s="19" t="e">
        <f t="shared" ref="F97" si="14">(I97/H97)</f>
        <v>#DIV/0!</v>
      </c>
      <c r="G97" s="130"/>
      <c r="H97" s="18">
        <f>SUM(H98:H102)</f>
        <v>0</v>
      </c>
      <c r="I97" s="7">
        <f>SUM(I98:I102)</f>
        <v>88787502</v>
      </c>
    </row>
    <row r="98" spans="1:9" ht="17.25" customHeight="1" x14ac:dyDescent="0.2">
      <c r="A98" s="53">
        <v>7951</v>
      </c>
      <c r="B98" s="63" t="s">
        <v>200</v>
      </c>
      <c r="C98" s="37"/>
      <c r="D98" s="95">
        <v>10313321</v>
      </c>
      <c r="E98" s="38" t="e">
        <f>(D98/C98)</f>
        <v>#DIV/0!</v>
      </c>
      <c r="F98" s="38">
        <v>0</v>
      </c>
      <c r="G98" s="131"/>
      <c r="H98" s="37"/>
      <c r="I98" s="1">
        <v>21787502</v>
      </c>
    </row>
    <row r="99" spans="1:9" ht="17.25" customHeight="1" x14ac:dyDescent="0.2">
      <c r="A99" s="53">
        <v>7952</v>
      </c>
      <c r="B99" s="63" t="s">
        <v>201</v>
      </c>
      <c r="C99" s="37"/>
      <c r="D99" s="95">
        <v>15600000</v>
      </c>
      <c r="E99" s="38">
        <v>0</v>
      </c>
      <c r="F99" s="38">
        <v>0</v>
      </c>
      <c r="G99" s="131"/>
      <c r="H99" s="37"/>
      <c r="I99" s="1">
        <v>36000000</v>
      </c>
    </row>
    <row r="100" spans="1:9" ht="17.25" customHeight="1" x14ac:dyDescent="0.2">
      <c r="A100" s="53">
        <v>7953</v>
      </c>
      <c r="B100" s="63" t="s">
        <v>202</v>
      </c>
      <c r="C100" s="37"/>
      <c r="D100" s="95">
        <v>8300000</v>
      </c>
      <c r="E100" s="38">
        <v>0</v>
      </c>
      <c r="F100" s="38">
        <v>0</v>
      </c>
      <c r="G100" s="131"/>
      <c r="H100" s="37"/>
      <c r="I100" s="1">
        <v>8000000</v>
      </c>
    </row>
    <row r="101" spans="1:9" ht="29.25" hidden="1" customHeight="1" x14ac:dyDescent="0.2">
      <c r="A101" s="53">
        <v>7954</v>
      </c>
      <c r="B101" s="103" t="s">
        <v>203</v>
      </c>
      <c r="C101" s="37"/>
      <c r="D101" s="37"/>
      <c r="E101" s="38"/>
      <c r="F101" s="38"/>
      <c r="G101" s="131"/>
      <c r="H101" s="37"/>
    </row>
    <row r="102" spans="1:9" s="76" customFormat="1" ht="27.75" customHeight="1" x14ac:dyDescent="0.2">
      <c r="A102" s="147" t="s">
        <v>149</v>
      </c>
      <c r="B102" s="148"/>
      <c r="C102" s="71">
        <f>C103+C105</f>
        <v>0</v>
      </c>
      <c r="D102" s="72">
        <f>D103+D105</f>
        <v>0</v>
      </c>
      <c r="E102" s="73">
        <v>0</v>
      </c>
      <c r="F102" s="74">
        <v>0</v>
      </c>
      <c r="G102" s="140"/>
      <c r="H102" s="71">
        <f>H103+H105</f>
        <v>0</v>
      </c>
      <c r="I102" s="75">
        <f>I103+I105</f>
        <v>23000000</v>
      </c>
    </row>
    <row r="103" spans="1:9" s="6" customFormat="1" ht="17.25" customHeight="1" x14ac:dyDescent="0.2">
      <c r="A103" s="46" t="s">
        <v>150</v>
      </c>
      <c r="B103" s="47" t="s">
        <v>151</v>
      </c>
      <c r="C103" s="18">
        <f>C104</f>
        <v>0</v>
      </c>
      <c r="D103" s="18">
        <f>D104</f>
        <v>0</v>
      </c>
      <c r="E103" s="19">
        <v>0</v>
      </c>
      <c r="F103" s="19">
        <v>0</v>
      </c>
      <c r="G103" s="130"/>
      <c r="H103" s="18">
        <f>H104</f>
        <v>0</v>
      </c>
      <c r="I103" s="7">
        <f>I104</f>
        <v>23000000</v>
      </c>
    </row>
    <row r="104" spans="1:9" ht="17.25" customHeight="1" x14ac:dyDescent="0.2">
      <c r="A104" s="34" t="s">
        <v>152</v>
      </c>
      <c r="B104" s="35" t="s">
        <v>153</v>
      </c>
      <c r="C104" s="37"/>
      <c r="D104" s="37">
        <v>0</v>
      </c>
      <c r="E104" s="38">
        <v>0</v>
      </c>
      <c r="F104" s="38">
        <v>0</v>
      </c>
      <c r="G104" s="131"/>
      <c r="H104" s="37"/>
      <c r="I104" s="1">
        <v>23000000</v>
      </c>
    </row>
    <row r="105" spans="1:9" s="6" customFormat="1" ht="17.25" customHeight="1" x14ac:dyDescent="0.2">
      <c r="A105" s="46" t="s">
        <v>154</v>
      </c>
      <c r="B105" s="47" t="s">
        <v>155</v>
      </c>
      <c r="C105" s="18">
        <f>C106</f>
        <v>0</v>
      </c>
      <c r="D105" s="18">
        <f>D106</f>
        <v>0</v>
      </c>
      <c r="E105" s="19">
        <v>0</v>
      </c>
      <c r="F105" s="19">
        <v>0</v>
      </c>
      <c r="G105" s="130"/>
      <c r="H105" s="18">
        <f>H106</f>
        <v>0</v>
      </c>
      <c r="I105" s="7">
        <f>I106</f>
        <v>0</v>
      </c>
    </row>
    <row r="106" spans="1:9" ht="17.25" customHeight="1" x14ac:dyDescent="0.2">
      <c r="A106" s="34" t="s">
        <v>156</v>
      </c>
      <c r="B106" s="35" t="s">
        <v>157</v>
      </c>
      <c r="C106" s="37"/>
      <c r="D106" s="37">
        <v>0</v>
      </c>
      <c r="E106" s="38">
        <v>0</v>
      </c>
      <c r="F106" s="38">
        <v>0</v>
      </c>
      <c r="G106" s="131"/>
      <c r="H106" s="37"/>
    </row>
    <row r="107" spans="1:9" s="25" customFormat="1" ht="17.25" customHeight="1" x14ac:dyDescent="0.2">
      <c r="A107" s="77" t="s">
        <v>158</v>
      </c>
      <c r="B107" s="78"/>
      <c r="C107" s="22">
        <f>C108+C120+C130+C141</f>
        <v>49452000</v>
      </c>
      <c r="D107" s="22">
        <f>D108+D120+D130+D141</f>
        <v>819602120</v>
      </c>
      <c r="E107" s="23">
        <f t="shared" si="11"/>
        <v>16.573690042869853</v>
      </c>
      <c r="F107" s="38">
        <f t="shared" si="12"/>
        <v>0.94316306721669496</v>
      </c>
      <c r="G107" s="131"/>
      <c r="H107" s="22">
        <f>H108+H120+H130+H141</f>
        <v>49452000</v>
      </c>
      <c r="I107" s="24">
        <f>I108+I120+I130</f>
        <v>46641300</v>
      </c>
    </row>
    <row r="108" spans="1:9" s="31" customFormat="1" ht="17.25" customHeight="1" x14ac:dyDescent="0.25">
      <c r="A108" s="26" t="s">
        <v>15</v>
      </c>
      <c r="B108" s="69"/>
      <c r="C108" s="50">
        <f>C109+C112+C114</f>
        <v>31452000</v>
      </c>
      <c r="D108" s="50">
        <f>D109+D112+D114</f>
        <v>290947120</v>
      </c>
      <c r="E108" s="51">
        <f t="shared" si="11"/>
        <v>9.2505125270253092</v>
      </c>
      <c r="F108" s="52">
        <f t="shared" si="12"/>
        <v>0.72053605494086226</v>
      </c>
      <c r="G108" s="138"/>
      <c r="H108" s="50">
        <f>H109+H112+H114</f>
        <v>31452000</v>
      </c>
      <c r="I108" s="30">
        <f>I109+I114</f>
        <v>22662300</v>
      </c>
    </row>
    <row r="109" spans="1:9" s="6" customFormat="1" ht="17.25" customHeight="1" x14ac:dyDescent="0.2">
      <c r="A109" s="32" t="s">
        <v>16</v>
      </c>
      <c r="B109" s="33" t="s">
        <v>17</v>
      </c>
      <c r="C109" s="18">
        <f>SUM(C111)</f>
        <v>0</v>
      </c>
      <c r="D109" s="18">
        <f>SUM(D110:D111)</f>
        <v>268302400</v>
      </c>
      <c r="E109" s="19">
        <v>0</v>
      </c>
      <c r="F109" s="19">
        <v>0</v>
      </c>
      <c r="G109" s="130"/>
      <c r="H109" s="18">
        <f>SUM(H111)</f>
        <v>0</v>
      </c>
      <c r="I109" s="7">
        <f>I111</f>
        <v>0</v>
      </c>
    </row>
    <row r="110" spans="1:9" s="6" customFormat="1" ht="17.25" customHeight="1" x14ac:dyDescent="0.2">
      <c r="A110" s="70">
        <v>6105</v>
      </c>
      <c r="B110" s="63" t="s">
        <v>205</v>
      </c>
      <c r="C110" s="18"/>
      <c r="D110" s="104">
        <v>235970802</v>
      </c>
      <c r="E110" s="38">
        <v>0</v>
      </c>
      <c r="F110" s="38">
        <v>0</v>
      </c>
      <c r="G110" s="131"/>
      <c r="H110" s="18"/>
      <c r="I110" s="6">
        <v>185010475</v>
      </c>
    </row>
    <row r="111" spans="1:9" ht="17.25" customHeight="1" x14ac:dyDescent="0.2">
      <c r="A111" s="70">
        <v>6149</v>
      </c>
      <c r="B111" s="63" t="s">
        <v>206</v>
      </c>
      <c r="C111" s="37"/>
      <c r="D111" s="104">
        <v>32331598</v>
      </c>
      <c r="E111" s="38">
        <v>0</v>
      </c>
      <c r="F111" s="38">
        <v>0</v>
      </c>
      <c r="G111" s="131"/>
      <c r="H111" s="37"/>
    </row>
    <row r="112" spans="1:9" ht="17.25" customHeight="1" x14ac:dyDescent="0.2">
      <c r="A112" s="32" t="s">
        <v>26</v>
      </c>
      <c r="B112" s="33" t="s">
        <v>27</v>
      </c>
      <c r="C112" s="37">
        <f>C113</f>
        <v>0</v>
      </c>
      <c r="D112" s="37">
        <f>D113</f>
        <v>0</v>
      </c>
      <c r="E112" s="19">
        <v>0</v>
      </c>
      <c r="F112" s="19">
        <v>0</v>
      </c>
      <c r="G112" s="130"/>
      <c r="H112" s="37">
        <f>H113</f>
        <v>0</v>
      </c>
      <c r="I112" s="1">
        <f>I113</f>
        <v>0</v>
      </c>
    </row>
    <row r="113" spans="1:10" ht="17.25" customHeight="1" x14ac:dyDescent="0.2">
      <c r="A113" s="79" t="s">
        <v>159</v>
      </c>
      <c r="B113" s="80" t="s">
        <v>160</v>
      </c>
      <c r="C113" s="37">
        <v>0</v>
      </c>
      <c r="D113" s="37"/>
      <c r="E113" s="38">
        <v>0</v>
      </c>
      <c r="F113" s="38">
        <v>0</v>
      </c>
      <c r="G113" s="131"/>
      <c r="H113" s="37">
        <v>0</v>
      </c>
    </row>
    <row r="114" spans="1:10" s="6" customFormat="1" ht="17.25" customHeight="1" x14ac:dyDescent="0.2">
      <c r="A114" s="32" t="s">
        <v>58</v>
      </c>
      <c r="B114" s="33" t="s">
        <v>59</v>
      </c>
      <c r="C114" s="18">
        <f>SUM(C115:C119)</f>
        <v>31452000</v>
      </c>
      <c r="D114" s="18">
        <f>SUM(D115:D119)</f>
        <v>22644720</v>
      </c>
      <c r="E114" s="38">
        <f t="shared" si="11"/>
        <v>0.71997710797405567</v>
      </c>
      <c r="F114" s="19">
        <f t="shared" si="12"/>
        <v>0.72053605494086226</v>
      </c>
      <c r="G114" s="130"/>
      <c r="H114" s="18">
        <f>SUM(H115:H119)</f>
        <v>31452000</v>
      </c>
      <c r="I114" s="7">
        <f>SUM(I115:I119)</f>
        <v>22662300</v>
      </c>
      <c r="J114" s="18">
        <f>SUM(J115:J119)</f>
        <v>22644720</v>
      </c>
    </row>
    <row r="115" spans="1:10" ht="17.25" customHeight="1" x14ac:dyDescent="0.2">
      <c r="A115" s="56" t="s">
        <v>161</v>
      </c>
      <c r="B115" s="64" t="s">
        <v>162</v>
      </c>
      <c r="C115" s="37"/>
      <c r="D115" s="37"/>
      <c r="E115" s="38" t="e">
        <f t="shared" si="11"/>
        <v>#DIV/0!</v>
      </c>
      <c r="F115" s="38" t="e">
        <f t="shared" si="12"/>
        <v>#DIV/0!</v>
      </c>
      <c r="G115" s="131"/>
      <c r="H115" s="37"/>
    </row>
    <row r="116" spans="1:10" ht="17.25" customHeight="1" x14ac:dyDescent="0.2">
      <c r="A116" s="56" t="s">
        <v>161</v>
      </c>
      <c r="B116" s="64" t="s">
        <v>163</v>
      </c>
      <c r="C116" s="37">
        <v>5400000</v>
      </c>
      <c r="D116" s="37">
        <f>3*600000*3</f>
        <v>5400000</v>
      </c>
      <c r="E116" s="38">
        <f t="shared" si="11"/>
        <v>1</v>
      </c>
      <c r="F116" s="38">
        <f t="shared" si="12"/>
        <v>1</v>
      </c>
      <c r="G116" s="131"/>
      <c r="H116" s="37">
        <v>5400000</v>
      </c>
      <c r="I116" s="37">
        <f>3*600000*3</f>
        <v>5400000</v>
      </c>
      <c r="J116" s="37">
        <f>3*600000*3</f>
        <v>5400000</v>
      </c>
    </row>
    <row r="117" spans="1:10" ht="17.25" customHeight="1" x14ac:dyDescent="0.2">
      <c r="A117" s="56" t="s">
        <v>161</v>
      </c>
      <c r="B117" s="64" t="s">
        <v>164</v>
      </c>
      <c r="C117" s="37">
        <v>18252000</v>
      </c>
      <c r="D117" s="37">
        <f>(3.96+2.41+2.41)*0.3*3*1390000+2.41*2*1390000*0.3</f>
        <v>12993720.000000002</v>
      </c>
      <c r="E117" s="38">
        <f t="shared" si="11"/>
        <v>0.71190664036817897</v>
      </c>
      <c r="F117" s="38">
        <f t="shared" si="12"/>
        <v>0.71730769230769242</v>
      </c>
      <c r="G117" s="131"/>
      <c r="H117" s="37">
        <v>18252000</v>
      </c>
      <c r="I117" s="37">
        <f>(3.96+2.41+2.41)*0.3*3*1300000+2.41*3*1300000*0.3</f>
        <v>13092300.000000002</v>
      </c>
      <c r="J117" s="37">
        <f>(3.96+2.41+2.41)*0.3*3*1390000+2.41*2*1390000*0.3</f>
        <v>12993720.000000002</v>
      </c>
    </row>
    <row r="118" spans="1:10" ht="17.25" customHeight="1" x14ac:dyDescent="0.2">
      <c r="A118" s="56" t="s">
        <v>161</v>
      </c>
      <c r="B118" s="64" t="s">
        <v>165</v>
      </c>
      <c r="C118" s="37">
        <v>7800000</v>
      </c>
      <c r="D118" s="37">
        <f>2*3*500000</f>
        <v>3000000</v>
      </c>
      <c r="E118" s="38">
        <f t="shared" si="11"/>
        <v>0.38461538461538464</v>
      </c>
      <c r="F118" s="38">
        <f t="shared" si="12"/>
        <v>0.38461538461538464</v>
      </c>
      <c r="G118" s="131"/>
      <c r="H118" s="37">
        <v>7800000</v>
      </c>
      <c r="I118" s="37">
        <f>2*3*500000</f>
        <v>3000000</v>
      </c>
      <c r="J118" s="37">
        <f>2*3*500000</f>
        <v>3000000</v>
      </c>
    </row>
    <row r="119" spans="1:10" ht="17.25" customHeight="1" x14ac:dyDescent="0.2">
      <c r="A119" s="53">
        <v>6449</v>
      </c>
      <c r="B119" s="70" t="s">
        <v>166</v>
      </c>
      <c r="C119" s="37"/>
      <c r="D119" s="37">
        <f>0.3*3*1390000</f>
        <v>1250999.9999999998</v>
      </c>
      <c r="E119" s="38" t="e">
        <f t="shared" si="11"/>
        <v>#DIV/0!</v>
      </c>
      <c r="F119" s="38" t="e">
        <f t="shared" si="12"/>
        <v>#DIV/0!</v>
      </c>
      <c r="G119" s="131"/>
      <c r="H119" s="37"/>
      <c r="I119" s="37">
        <f>0.3*3*1300000</f>
        <v>1170000</v>
      </c>
      <c r="J119" s="37">
        <f>0.3*3*1390000</f>
        <v>1250999.9999999998</v>
      </c>
    </row>
    <row r="120" spans="1:10" s="31" customFormat="1" ht="17.25" customHeight="1" x14ac:dyDescent="0.25">
      <c r="A120" s="48" t="s">
        <v>62</v>
      </c>
      <c r="B120" s="69"/>
      <c r="C120" s="50">
        <f>C121+C127</f>
        <v>0</v>
      </c>
      <c r="D120" s="50">
        <f>D121+D124+D127</f>
        <v>43105000</v>
      </c>
      <c r="E120" s="51" t="e">
        <f t="shared" si="11"/>
        <v>#DIV/0!</v>
      </c>
      <c r="F120" s="51" t="e">
        <f t="shared" si="12"/>
        <v>#DIV/0!</v>
      </c>
      <c r="G120" s="141"/>
      <c r="H120" s="50">
        <f>H121+H127</f>
        <v>0</v>
      </c>
      <c r="I120" s="30">
        <f>I121+I124+I127</f>
        <v>12779000</v>
      </c>
    </row>
    <row r="121" spans="1:10" s="6" customFormat="1" ht="17.25" customHeight="1" x14ac:dyDescent="0.2">
      <c r="A121" s="32" t="s">
        <v>106</v>
      </c>
      <c r="B121" s="81" t="s">
        <v>107</v>
      </c>
      <c r="C121" s="18">
        <f>SUM(C122:C123)</f>
        <v>0</v>
      </c>
      <c r="D121" s="18">
        <f>SUM(D122:D123)</f>
        <v>1980000</v>
      </c>
      <c r="E121" s="19" t="e">
        <f t="shared" si="11"/>
        <v>#DIV/0!</v>
      </c>
      <c r="F121" s="19" t="e">
        <f t="shared" si="12"/>
        <v>#DIV/0!</v>
      </c>
      <c r="G121" s="130"/>
      <c r="H121" s="18">
        <f>SUM(H122:H123)</f>
        <v>0</v>
      </c>
      <c r="I121" s="7">
        <f>I122</f>
        <v>12779000</v>
      </c>
    </row>
    <row r="122" spans="1:10" ht="17.25" customHeight="1" x14ac:dyDescent="0.25">
      <c r="A122" s="34" t="s">
        <v>167</v>
      </c>
      <c r="B122" s="35" t="s">
        <v>168</v>
      </c>
      <c r="C122" s="37"/>
      <c r="D122" s="97">
        <v>1980000</v>
      </c>
      <c r="E122" s="38" t="e">
        <f t="shared" si="11"/>
        <v>#DIV/0!</v>
      </c>
      <c r="F122" s="38" t="e">
        <f t="shared" si="12"/>
        <v>#DIV/0!</v>
      </c>
      <c r="G122" s="131"/>
      <c r="H122" s="37"/>
      <c r="I122" s="1">
        <v>12779000</v>
      </c>
    </row>
    <row r="123" spans="1:10" ht="17.25" customHeight="1" x14ac:dyDescent="0.2">
      <c r="A123" s="34" t="s">
        <v>167</v>
      </c>
      <c r="B123" s="35" t="s">
        <v>169</v>
      </c>
      <c r="C123" s="37"/>
      <c r="D123" s="37"/>
      <c r="E123" s="38" t="e">
        <f t="shared" si="11"/>
        <v>#DIV/0!</v>
      </c>
      <c r="F123" s="38" t="e">
        <f t="shared" si="12"/>
        <v>#DIV/0!</v>
      </c>
      <c r="G123" s="131"/>
      <c r="H123" s="37"/>
    </row>
    <row r="124" spans="1:10" s="6" customFormat="1" ht="17.25" customHeight="1" x14ac:dyDescent="0.2">
      <c r="A124" s="46" t="s">
        <v>170</v>
      </c>
      <c r="B124" s="47" t="s">
        <v>171</v>
      </c>
      <c r="C124" s="18"/>
      <c r="D124" s="18">
        <f>D125+D126</f>
        <v>39325000</v>
      </c>
      <c r="E124" s="19"/>
      <c r="F124" s="19"/>
      <c r="G124" s="130"/>
      <c r="H124" s="18"/>
      <c r="I124" s="7">
        <f>I126</f>
        <v>0</v>
      </c>
    </row>
    <row r="125" spans="1:10" ht="17.25" customHeight="1" x14ac:dyDescent="0.2">
      <c r="A125" s="56" t="s">
        <v>116</v>
      </c>
      <c r="B125" s="57" t="s">
        <v>117</v>
      </c>
      <c r="C125" s="37"/>
      <c r="D125" s="105">
        <v>39325000</v>
      </c>
      <c r="E125" s="38" t="e">
        <f>(D125/C125)</f>
        <v>#DIV/0!</v>
      </c>
      <c r="F125" s="38" t="e">
        <f t="shared" ref="F125" si="15">(I125/H125)</f>
        <v>#DIV/0!</v>
      </c>
      <c r="G125" s="131"/>
      <c r="H125" s="37"/>
    </row>
    <row r="126" spans="1:10" ht="17.25" customHeight="1" x14ac:dyDescent="0.2">
      <c r="A126" s="34" t="s">
        <v>172</v>
      </c>
      <c r="B126" s="35" t="s">
        <v>173</v>
      </c>
      <c r="C126" s="37"/>
      <c r="D126" s="37"/>
      <c r="E126" s="38"/>
      <c r="F126" s="38"/>
      <c r="G126" s="131"/>
      <c r="H126" s="37"/>
    </row>
    <row r="127" spans="1:10" s="6" customFormat="1" ht="17.25" customHeight="1" x14ac:dyDescent="0.2">
      <c r="A127" s="32" t="s">
        <v>125</v>
      </c>
      <c r="B127" s="81" t="s">
        <v>126</v>
      </c>
      <c r="C127" s="18">
        <f>SUM(C128:C129)</f>
        <v>0</v>
      </c>
      <c r="D127" s="18">
        <f>SUM(D128:D129)</f>
        <v>1800000</v>
      </c>
      <c r="E127" s="19" t="e">
        <f t="shared" si="11"/>
        <v>#DIV/0!</v>
      </c>
      <c r="F127" s="19" t="e">
        <f t="shared" si="12"/>
        <v>#DIV/0!</v>
      </c>
      <c r="G127" s="130"/>
      <c r="H127" s="18">
        <f>SUM(H128:H129)</f>
        <v>0</v>
      </c>
      <c r="I127" s="7">
        <f>SUM(I128:I129)</f>
        <v>0</v>
      </c>
    </row>
    <row r="128" spans="1:10" ht="17.25" customHeight="1" x14ac:dyDescent="0.2">
      <c r="A128" s="79" t="s">
        <v>129</v>
      </c>
      <c r="B128" s="80" t="s">
        <v>174</v>
      </c>
      <c r="C128" s="37"/>
      <c r="D128" s="104">
        <v>1800000</v>
      </c>
      <c r="E128" s="38">
        <v>0</v>
      </c>
      <c r="F128" s="38" t="e">
        <f t="shared" si="12"/>
        <v>#DIV/0!</v>
      </c>
      <c r="G128" s="131"/>
      <c r="H128" s="37"/>
    </row>
    <row r="129" spans="1:9" ht="17.25" customHeight="1" x14ac:dyDescent="0.2">
      <c r="A129" s="34" t="s">
        <v>133</v>
      </c>
      <c r="B129" s="35" t="s">
        <v>175</v>
      </c>
      <c r="C129" s="37"/>
      <c r="D129" s="37">
        <v>0</v>
      </c>
      <c r="E129" s="38">
        <v>0</v>
      </c>
      <c r="F129" s="38" t="e">
        <f t="shared" si="12"/>
        <v>#DIV/0!</v>
      </c>
      <c r="G129" s="131"/>
      <c r="H129" s="37"/>
    </row>
    <row r="130" spans="1:9" s="31" customFormat="1" ht="17.25" customHeight="1" x14ac:dyDescent="0.25">
      <c r="A130" s="68" t="s">
        <v>139</v>
      </c>
      <c r="B130" s="82"/>
      <c r="C130" s="28">
        <f>C131</f>
        <v>18000000</v>
      </c>
      <c r="D130" s="28">
        <f>D131</f>
        <v>18000000</v>
      </c>
      <c r="E130" s="29">
        <f t="shared" si="11"/>
        <v>1</v>
      </c>
      <c r="F130" s="29">
        <f t="shared" si="12"/>
        <v>0.62222222222222223</v>
      </c>
      <c r="G130" s="137"/>
      <c r="H130" s="28">
        <f>H131</f>
        <v>18000000</v>
      </c>
      <c r="I130" s="30">
        <f>I131+I139</f>
        <v>11200000</v>
      </c>
    </row>
    <row r="131" spans="1:9" s="6" customFormat="1" ht="17.25" customHeight="1" x14ac:dyDescent="0.2">
      <c r="A131" s="32" t="s">
        <v>176</v>
      </c>
      <c r="B131" s="33" t="s">
        <v>177</v>
      </c>
      <c r="C131" s="18">
        <f>SUM(C132:C138)</f>
        <v>18000000</v>
      </c>
      <c r="D131" s="18">
        <f>SUM(D132:D138)</f>
        <v>18000000</v>
      </c>
      <c r="E131" s="19">
        <f t="shared" si="11"/>
        <v>1</v>
      </c>
      <c r="F131" s="19">
        <f t="shared" si="12"/>
        <v>0.62222222222222223</v>
      </c>
      <c r="G131" s="130"/>
      <c r="H131" s="18">
        <f>SUM(H132:H138)</f>
        <v>18000000</v>
      </c>
      <c r="I131" s="7">
        <f>SUM(I132:I138)</f>
        <v>11200000</v>
      </c>
    </row>
    <row r="132" spans="1:9" ht="17.25" customHeight="1" x14ac:dyDescent="0.2">
      <c r="A132" s="79" t="s">
        <v>143</v>
      </c>
      <c r="B132" s="80" t="s">
        <v>177</v>
      </c>
      <c r="C132" s="37">
        <v>0</v>
      </c>
      <c r="D132" s="37">
        <v>6600000</v>
      </c>
      <c r="E132" s="37">
        <f>C132</f>
        <v>0</v>
      </c>
      <c r="F132" s="38" t="e">
        <f t="shared" si="12"/>
        <v>#DIV/0!</v>
      </c>
      <c r="G132" s="131"/>
      <c r="H132" s="37">
        <v>0</v>
      </c>
    </row>
    <row r="133" spans="1:9" ht="17.25" customHeight="1" x14ac:dyDescent="0.2">
      <c r="A133" s="34" t="s">
        <v>143</v>
      </c>
      <c r="B133" s="35" t="s">
        <v>178</v>
      </c>
      <c r="C133" s="37"/>
      <c r="D133" s="37"/>
      <c r="E133" s="38">
        <v>0</v>
      </c>
      <c r="F133" s="38">
        <v>0</v>
      </c>
      <c r="G133" s="131"/>
      <c r="H133" s="37"/>
    </row>
    <row r="134" spans="1:9" ht="17.25" customHeight="1" x14ac:dyDescent="0.2">
      <c r="A134" s="79" t="s">
        <v>143</v>
      </c>
      <c r="B134" s="80" t="s">
        <v>179</v>
      </c>
      <c r="C134" s="37"/>
      <c r="D134" s="37"/>
      <c r="E134" s="38">
        <v>0</v>
      </c>
      <c r="F134" s="38">
        <v>0</v>
      </c>
      <c r="G134" s="131"/>
      <c r="H134" s="37"/>
    </row>
    <row r="135" spans="1:9" ht="17.25" customHeight="1" x14ac:dyDescent="0.2">
      <c r="A135" s="79" t="s">
        <v>143</v>
      </c>
      <c r="B135" s="80" t="s">
        <v>180</v>
      </c>
      <c r="C135" s="37"/>
      <c r="D135" s="37">
        <f>39*200000</f>
        <v>7800000</v>
      </c>
      <c r="E135" s="38" t="e">
        <f t="shared" si="11"/>
        <v>#DIV/0!</v>
      </c>
      <c r="F135" s="38">
        <v>0</v>
      </c>
      <c r="G135" s="131"/>
      <c r="H135" s="37"/>
      <c r="I135" s="1">
        <v>11200000</v>
      </c>
    </row>
    <row r="136" spans="1:9" ht="17.25" customHeight="1" x14ac:dyDescent="0.2">
      <c r="A136" s="34" t="s">
        <v>143</v>
      </c>
      <c r="B136" s="35" t="s">
        <v>181</v>
      </c>
      <c r="C136" s="37"/>
      <c r="D136" s="37"/>
      <c r="E136" s="38">
        <v>0</v>
      </c>
      <c r="F136" s="38">
        <v>0</v>
      </c>
      <c r="G136" s="131"/>
      <c r="H136" s="37"/>
    </row>
    <row r="137" spans="1:9" ht="17.25" customHeight="1" x14ac:dyDescent="0.2">
      <c r="A137" s="34" t="s">
        <v>143</v>
      </c>
      <c r="B137" s="35" t="s">
        <v>182</v>
      </c>
      <c r="C137" s="37">
        <v>18000000</v>
      </c>
      <c r="D137" s="37">
        <v>3600000</v>
      </c>
      <c r="E137" s="38">
        <v>0</v>
      </c>
      <c r="F137" s="38">
        <v>0</v>
      </c>
      <c r="G137" s="131"/>
      <c r="H137" s="37">
        <v>18000000</v>
      </c>
    </row>
    <row r="138" spans="1:9" ht="17.25" customHeight="1" x14ac:dyDescent="0.2">
      <c r="A138" s="34" t="s">
        <v>183</v>
      </c>
      <c r="B138" s="35" t="s">
        <v>184</v>
      </c>
      <c r="C138" s="37"/>
      <c r="D138" s="37"/>
      <c r="E138" s="38">
        <v>0</v>
      </c>
      <c r="F138" s="38" t="e">
        <f t="shared" si="12"/>
        <v>#DIV/0!</v>
      </c>
      <c r="G138" s="131"/>
      <c r="H138" s="37"/>
    </row>
    <row r="139" spans="1:9" s="6" customFormat="1" ht="17.25" customHeight="1" x14ac:dyDescent="0.2">
      <c r="A139" s="46" t="s">
        <v>150</v>
      </c>
      <c r="B139" s="47" t="s">
        <v>185</v>
      </c>
      <c r="C139" s="18"/>
      <c r="D139" s="18"/>
      <c r="E139" s="19"/>
      <c r="F139" s="19"/>
      <c r="G139" s="130"/>
      <c r="H139" s="18"/>
      <c r="I139" s="7">
        <f>I140</f>
        <v>0</v>
      </c>
    </row>
    <row r="140" spans="1:9" ht="17.25" customHeight="1" x14ac:dyDescent="0.2">
      <c r="A140" s="34" t="s">
        <v>186</v>
      </c>
      <c r="B140" s="35" t="s">
        <v>187</v>
      </c>
      <c r="C140" s="37"/>
      <c r="D140" s="37"/>
      <c r="E140" s="38"/>
      <c r="F140" s="38"/>
      <c r="G140" s="131"/>
      <c r="H140" s="37"/>
    </row>
    <row r="141" spans="1:9" s="25" customFormat="1" ht="17.25" customHeight="1" x14ac:dyDescent="0.2">
      <c r="A141" s="77" t="s">
        <v>188</v>
      </c>
      <c r="B141" s="78"/>
      <c r="C141" s="22">
        <f>SUM(C142:C145)</f>
        <v>0</v>
      </c>
      <c r="D141" s="22">
        <f>SUM(D142:D145)</f>
        <v>467550000</v>
      </c>
      <c r="E141" s="23">
        <v>0</v>
      </c>
      <c r="F141" s="19">
        <v>0</v>
      </c>
      <c r="G141" s="130"/>
      <c r="H141" s="22">
        <f>SUM(H142:H145)</f>
        <v>0</v>
      </c>
      <c r="I141" s="24">
        <f>I142</f>
        <v>0</v>
      </c>
    </row>
    <row r="142" spans="1:9" ht="17.25" customHeight="1" x14ac:dyDescent="0.2">
      <c r="A142" s="53">
        <v>7001</v>
      </c>
      <c r="B142" s="70" t="s">
        <v>189</v>
      </c>
      <c r="C142" s="37"/>
      <c r="D142" s="37">
        <v>113250000</v>
      </c>
      <c r="E142" s="38">
        <v>0</v>
      </c>
      <c r="F142" s="38">
        <v>0</v>
      </c>
      <c r="G142" s="131"/>
      <c r="H142" s="37"/>
    </row>
    <row r="143" spans="1:9" ht="17.25" customHeight="1" x14ac:dyDescent="0.2">
      <c r="A143" s="53">
        <v>6956</v>
      </c>
      <c r="B143" s="70" t="s">
        <v>190</v>
      </c>
      <c r="C143" s="37"/>
      <c r="D143" s="95">
        <v>281700000</v>
      </c>
      <c r="E143" s="38">
        <v>0</v>
      </c>
      <c r="F143" s="38">
        <v>0</v>
      </c>
      <c r="G143" s="131"/>
      <c r="H143" s="37"/>
      <c r="I143" s="1">
        <v>113250000</v>
      </c>
    </row>
    <row r="144" spans="1:9" ht="17.25" customHeight="1" x14ac:dyDescent="0.2">
      <c r="A144" s="53">
        <v>6956</v>
      </c>
      <c r="B144" s="70" t="s">
        <v>191</v>
      </c>
      <c r="C144" s="37"/>
      <c r="D144" s="37">
        <v>25600000</v>
      </c>
      <c r="E144" s="38"/>
      <c r="F144" s="38"/>
      <c r="G144" s="131"/>
      <c r="H144" s="37"/>
    </row>
    <row r="145" spans="1:9" ht="17.25" customHeight="1" x14ac:dyDescent="0.2">
      <c r="A145" s="53">
        <v>6552</v>
      </c>
      <c r="B145" s="54" t="s">
        <v>207</v>
      </c>
      <c r="C145" s="37"/>
      <c r="D145" s="37">
        <v>47000000</v>
      </c>
      <c r="E145" s="38"/>
      <c r="F145" s="38"/>
      <c r="G145" s="131"/>
      <c r="H145" s="37"/>
    </row>
    <row r="146" spans="1:9" ht="6.75" customHeight="1" x14ac:dyDescent="0.2">
      <c r="A146" s="83"/>
      <c r="B146" s="84"/>
    </row>
    <row r="147" spans="1:9" s="85" customFormat="1" x14ac:dyDescent="0.2">
      <c r="C147" s="149" t="s">
        <v>198</v>
      </c>
      <c r="D147" s="149"/>
      <c r="E147" s="149"/>
      <c r="F147" s="149"/>
      <c r="G147" s="98"/>
      <c r="H147" s="86"/>
      <c r="I147" s="86"/>
    </row>
    <row r="148" spans="1:9" x14ac:dyDescent="0.2">
      <c r="C148" s="150" t="s">
        <v>192</v>
      </c>
      <c r="D148" s="150"/>
      <c r="E148" s="150"/>
      <c r="F148" s="150"/>
      <c r="G148" s="99"/>
    </row>
    <row r="149" spans="1:9" x14ac:dyDescent="0.2">
      <c r="C149" s="7"/>
      <c r="D149" s="7"/>
      <c r="E149" s="8"/>
      <c r="F149" s="8"/>
      <c r="G149" s="8"/>
      <c r="H149" s="7"/>
    </row>
    <row r="150" spans="1:9" x14ac:dyDescent="0.2">
      <c r="C150" s="7"/>
      <c r="D150" s="7"/>
      <c r="E150" s="8"/>
      <c r="F150" s="8"/>
      <c r="G150" s="8"/>
      <c r="H150" s="7"/>
    </row>
    <row r="151" spans="1:9" x14ac:dyDescent="0.2">
      <c r="C151" s="7"/>
      <c r="D151" s="7"/>
      <c r="E151" s="8"/>
      <c r="F151" s="8"/>
      <c r="G151" s="8"/>
      <c r="H151" s="7"/>
    </row>
    <row r="152" spans="1:9" x14ac:dyDescent="0.2">
      <c r="C152" s="150"/>
      <c r="D152" s="150"/>
      <c r="E152" s="150"/>
      <c r="F152" s="150"/>
      <c r="G152" s="99"/>
    </row>
    <row r="153" spans="1:9" x14ac:dyDescent="0.2">
      <c r="C153" s="150"/>
      <c r="D153" s="150"/>
      <c r="E153" s="150"/>
      <c r="F153" s="150"/>
      <c r="G153" s="99"/>
    </row>
  </sheetData>
  <mergeCells count="13">
    <mergeCell ref="A1:F1"/>
    <mergeCell ref="A6:F6"/>
    <mergeCell ref="A7:F7"/>
    <mergeCell ref="A9:A11"/>
    <mergeCell ref="B9:B11"/>
    <mergeCell ref="C9:C11"/>
    <mergeCell ref="D9:D11"/>
    <mergeCell ref="E9:F10"/>
    <mergeCell ref="H9:H11"/>
    <mergeCell ref="A102:B102"/>
    <mergeCell ref="C147:F147"/>
    <mergeCell ref="C148:F148"/>
    <mergeCell ref="C152:F15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showZeros="0" tabSelected="1" workbookViewId="0">
      <selection activeCell="B31" sqref="B31"/>
    </sheetView>
  </sheetViews>
  <sheetFormatPr defaultColWidth="9.125" defaultRowHeight="12.75" x14ac:dyDescent="0.2"/>
  <cols>
    <col min="1" max="1" width="6.25" style="2" customWidth="1"/>
    <col min="2" max="2" width="47" style="2" customWidth="1"/>
    <col min="3" max="3" width="14.25" style="1" customWidth="1"/>
    <col min="4" max="4" width="13.75" style="1" customWidth="1"/>
    <col min="5" max="5" width="9.125" style="9" customWidth="1"/>
    <col min="6" max="6" width="9.25" style="9" customWidth="1"/>
    <col min="7" max="7" width="9.25" style="131" customWidth="1"/>
    <col min="8" max="8" width="14.25" style="1" customWidth="1"/>
    <col min="9" max="9" width="18.625" style="1" customWidth="1"/>
    <col min="10" max="10" width="9.125" style="2"/>
    <col min="11" max="11" width="11.25" style="2" bestFit="1" customWidth="1"/>
    <col min="12" max="16384" width="9.125" style="2"/>
  </cols>
  <sheetData>
    <row r="1" spans="1:9" x14ac:dyDescent="0.2">
      <c r="A1" s="151" t="s">
        <v>0</v>
      </c>
      <c r="B1" s="151"/>
      <c r="C1" s="151"/>
      <c r="D1" s="151"/>
      <c r="E1" s="151"/>
      <c r="F1" s="151"/>
      <c r="G1" s="128"/>
    </row>
    <row r="2" spans="1:9" x14ac:dyDescent="0.2">
      <c r="A2" s="92"/>
      <c r="B2" s="92"/>
      <c r="C2" s="92"/>
      <c r="D2" s="4"/>
      <c r="E2" s="5"/>
      <c r="F2" s="5"/>
      <c r="G2" s="129"/>
      <c r="H2" s="100"/>
    </row>
    <row r="3" spans="1:9" s="6" customFormat="1" x14ac:dyDescent="0.2">
      <c r="A3" s="6" t="s">
        <v>193</v>
      </c>
      <c r="B3" s="6" t="s">
        <v>195</v>
      </c>
      <c r="C3" s="7"/>
      <c r="D3" s="7"/>
      <c r="E3" s="8"/>
      <c r="F3" s="8"/>
      <c r="G3" s="130"/>
      <c r="H3" s="7"/>
      <c r="I3" s="7"/>
    </row>
    <row r="4" spans="1:9" s="6" customFormat="1" x14ac:dyDescent="0.2">
      <c r="A4" s="6" t="s">
        <v>196</v>
      </c>
      <c r="C4" s="7"/>
      <c r="D4" s="7"/>
      <c r="E4" s="8"/>
      <c r="F4" s="8"/>
      <c r="G4" s="130"/>
      <c r="H4" s="7"/>
      <c r="I4" s="7"/>
    </row>
    <row r="6" spans="1:9" x14ac:dyDescent="0.2">
      <c r="A6" s="152" t="s">
        <v>1</v>
      </c>
      <c r="B6" s="152"/>
      <c r="C6" s="152"/>
      <c r="D6" s="152"/>
      <c r="E6" s="152"/>
      <c r="F6" s="152"/>
      <c r="G6" s="132"/>
    </row>
    <row r="7" spans="1:9" x14ac:dyDescent="0.2">
      <c r="A7" s="152" t="s">
        <v>208</v>
      </c>
      <c r="B7" s="152"/>
      <c r="C7" s="152"/>
      <c r="D7" s="152"/>
      <c r="E7" s="152"/>
      <c r="F7" s="152"/>
      <c r="G7" s="132"/>
    </row>
    <row r="8" spans="1:9" x14ac:dyDescent="0.2">
      <c r="A8" s="93"/>
      <c r="B8" s="93"/>
      <c r="C8" s="91"/>
      <c r="D8" s="91"/>
      <c r="E8" s="12"/>
      <c r="F8" s="12"/>
      <c r="G8" s="133"/>
      <c r="H8" s="99"/>
    </row>
    <row r="9" spans="1:9" x14ac:dyDescent="0.2">
      <c r="A9" s="153" t="s">
        <v>2</v>
      </c>
      <c r="B9" s="153" t="s">
        <v>3</v>
      </c>
      <c r="C9" s="144" t="s">
        <v>4</v>
      </c>
      <c r="D9" s="144" t="s">
        <v>209</v>
      </c>
      <c r="E9" s="156" t="s">
        <v>5</v>
      </c>
      <c r="F9" s="156"/>
      <c r="G9" s="134"/>
      <c r="H9" s="157" t="s">
        <v>4</v>
      </c>
    </row>
    <row r="10" spans="1:9" s="14" customFormat="1" x14ac:dyDescent="0.2">
      <c r="A10" s="154"/>
      <c r="B10" s="154"/>
      <c r="C10" s="145"/>
      <c r="D10" s="145"/>
      <c r="E10" s="156"/>
      <c r="F10" s="156"/>
      <c r="G10" s="134"/>
      <c r="H10" s="158"/>
      <c r="I10" s="13"/>
    </row>
    <row r="11" spans="1:9" s="14" customFormat="1" ht="25.5" x14ac:dyDescent="0.2">
      <c r="A11" s="155"/>
      <c r="B11" s="155"/>
      <c r="C11" s="146"/>
      <c r="D11" s="146"/>
      <c r="E11" s="15" t="s">
        <v>6</v>
      </c>
      <c r="F11" s="15" t="s">
        <v>7</v>
      </c>
      <c r="G11" s="135"/>
      <c r="H11" s="159"/>
      <c r="I11" s="13"/>
    </row>
    <row r="12" spans="1:9" s="6" customFormat="1" x14ac:dyDescent="0.2">
      <c r="A12" s="16" t="s">
        <v>8</v>
      </c>
      <c r="B12" s="17" t="s">
        <v>9</v>
      </c>
      <c r="C12" s="18"/>
      <c r="D12" s="18"/>
      <c r="E12" s="19"/>
      <c r="F12" s="19"/>
      <c r="G12" s="130"/>
      <c r="H12" s="118"/>
      <c r="I12" s="7"/>
    </row>
    <row r="13" spans="1:9" s="6" customFormat="1" x14ac:dyDescent="0.2">
      <c r="A13" s="16" t="s">
        <v>10</v>
      </c>
      <c r="B13" s="17" t="s">
        <v>11</v>
      </c>
      <c r="C13" s="18"/>
      <c r="D13" s="18"/>
      <c r="E13" s="19"/>
      <c r="F13" s="19"/>
      <c r="G13" s="130"/>
      <c r="H13" s="118"/>
      <c r="I13" s="91" t="s">
        <v>12</v>
      </c>
    </row>
    <row r="14" spans="1:9" s="6" customFormat="1" x14ac:dyDescent="0.2">
      <c r="A14" s="16">
        <v>1</v>
      </c>
      <c r="B14" s="17" t="s">
        <v>13</v>
      </c>
      <c r="C14" s="18">
        <f>C15+C107</f>
        <v>1425319603</v>
      </c>
      <c r="D14" s="18">
        <f>D15+D107</f>
        <v>1351076789</v>
      </c>
      <c r="E14" s="19">
        <f>D14/C14</f>
        <v>0.94791146221259126</v>
      </c>
      <c r="F14" s="19">
        <f>(I14/H14)</f>
        <v>0.79333204716194039</v>
      </c>
      <c r="G14" s="130"/>
      <c r="H14" s="118">
        <f>H15+H107</f>
        <v>1427269603</v>
      </c>
      <c r="I14" s="7">
        <f>I15+I107</f>
        <v>1132298716</v>
      </c>
    </row>
    <row r="15" spans="1:9" s="25" customFormat="1" x14ac:dyDescent="0.2">
      <c r="A15" s="20">
        <v>1.1000000000000001</v>
      </c>
      <c r="B15" s="21" t="s">
        <v>14</v>
      </c>
      <c r="C15" s="22">
        <f>C16+C43+C90+C102</f>
        <v>1301487112</v>
      </c>
      <c r="D15" s="22">
        <f>D16+D43+D90+D102</f>
        <v>1252054199</v>
      </c>
      <c r="E15" s="23">
        <f>(D15/C15)</f>
        <v>0.96201813099475397</v>
      </c>
      <c r="F15" s="23">
        <f>(I15/H15)</f>
        <v>0.80529442538190876</v>
      </c>
      <c r="G15" s="136"/>
      <c r="H15" s="119">
        <f>H16+H43+H90+H102</f>
        <v>1301487112</v>
      </c>
      <c r="I15" s="24">
        <f>I16+I43+I90+I102</f>
        <v>1048080316</v>
      </c>
    </row>
    <row r="16" spans="1:9" s="31" customFormat="1" ht="13.5" x14ac:dyDescent="0.25">
      <c r="A16" s="26" t="s">
        <v>15</v>
      </c>
      <c r="B16" s="27"/>
      <c r="C16" s="28">
        <f>C17+C21+C23+C33+C36+C41</f>
        <v>1049170612</v>
      </c>
      <c r="D16" s="28">
        <f>D17+D21+D23+D33+D36+D41</f>
        <v>1110622297</v>
      </c>
      <c r="E16" s="29">
        <f t="shared" ref="E16:E17" si="0">(D16/C16)</f>
        <v>1.0585716796650038</v>
      </c>
      <c r="F16" s="29">
        <f>(I16/H16)</f>
        <v>0.9174342742646322</v>
      </c>
      <c r="G16" s="137"/>
      <c r="H16" s="120">
        <f>H17+H21+H23+H33+H36+H41</f>
        <v>1049170612</v>
      </c>
      <c r="I16" s="30">
        <f>I17+I21+I23+I33+I36</f>
        <v>962545079</v>
      </c>
    </row>
    <row r="17" spans="1:9" s="6" customFormat="1" x14ac:dyDescent="0.2">
      <c r="A17" s="32" t="s">
        <v>16</v>
      </c>
      <c r="B17" s="33" t="s">
        <v>17</v>
      </c>
      <c r="C17" s="18">
        <f>SUM(C18:C20)</f>
        <v>551982900</v>
      </c>
      <c r="D17" s="18">
        <f t="shared" ref="D17" si="1">SUM(D18:D20)</f>
        <v>582836001</v>
      </c>
      <c r="E17" s="19">
        <f t="shared" si="0"/>
        <v>1.0558950304438779</v>
      </c>
      <c r="F17" s="19">
        <f>(I17/H17)</f>
        <v>0.92804505356959432</v>
      </c>
      <c r="G17" s="130"/>
      <c r="H17" s="118">
        <f>SUM(H18:H20)</f>
        <v>551982900</v>
      </c>
      <c r="I17" s="7">
        <f>SUM(I18:I20)</f>
        <v>512265000</v>
      </c>
    </row>
    <row r="18" spans="1:9" x14ac:dyDescent="0.2">
      <c r="A18" s="34" t="s">
        <v>18</v>
      </c>
      <c r="B18" s="35" t="s">
        <v>19</v>
      </c>
      <c r="C18" s="115">
        <f>90.28*1390000*3</f>
        <v>376467600</v>
      </c>
      <c r="D18" s="94">
        <f>376014001+33310800</f>
        <v>409324801</v>
      </c>
      <c r="E18" s="38">
        <f>(D18/C18)</f>
        <v>1.0872776329224614</v>
      </c>
      <c r="F18" s="38">
        <f>(I18/H18)</f>
        <v>0.93183317767584783</v>
      </c>
      <c r="H18" s="121">
        <f>90.28*1390000*3</f>
        <v>376467600</v>
      </c>
      <c r="I18" s="94">
        <v>350805000</v>
      </c>
    </row>
    <row r="19" spans="1:9" x14ac:dyDescent="0.2">
      <c r="A19" s="34" t="s">
        <v>20</v>
      </c>
      <c r="B19" s="35" t="s">
        <v>21</v>
      </c>
      <c r="C19" s="115">
        <f>42.09*1390000*3</f>
        <v>175515300.00000003</v>
      </c>
      <c r="D19" s="94">
        <f>158970800+14540400</f>
        <v>173511200</v>
      </c>
      <c r="E19" s="38">
        <f t="shared" ref="E19:E82" si="2">(D19/C19)</f>
        <v>0.98858162222894508</v>
      </c>
      <c r="F19" s="38">
        <f t="shared" ref="F19:F82" si="3">(I19/H19)</f>
        <v>0.91991980186342714</v>
      </c>
      <c r="H19" s="121">
        <f>42.09*1390000*3</f>
        <v>175515300.00000003</v>
      </c>
      <c r="I19" s="94">
        <v>161460000</v>
      </c>
    </row>
    <row r="20" spans="1:9" hidden="1" x14ac:dyDescent="0.2">
      <c r="A20" s="34" t="s">
        <v>22</v>
      </c>
      <c r="B20" s="35" t="s">
        <v>23</v>
      </c>
      <c r="C20" s="37"/>
      <c r="D20" s="37"/>
      <c r="E20" s="38"/>
      <c r="F20" s="38"/>
      <c r="H20" s="122"/>
      <c r="I20" s="87"/>
    </row>
    <row r="21" spans="1:9" s="6" customFormat="1" hidden="1" x14ac:dyDescent="0.2">
      <c r="A21" s="39">
        <v>6050</v>
      </c>
      <c r="B21" s="40" t="s">
        <v>24</v>
      </c>
      <c r="C21" s="18">
        <f>C22</f>
        <v>0</v>
      </c>
      <c r="D21" s="18">
        <f t="shared" ref="D21" si="4">D22</f>
        <v>0</v>
      </c>
      <c r="E21" s="19">
        <v>0</v>
      </c>
      <c r="F21" s="19">
        <v>0</v>
      </c>
      <c r="G21" s="130"/>
      <c r="H21" s="118">
        <f>H22</f>
        <v>0</v>
      </c>
      <c r="I21" s="88">
        <f>I22</f>
        <v>0</v>
      </c>
    </row>
    <row r="22" spans="1:9" hidden="1" x14ac:dyDescent="0.2">
      <c r="A22" s="41">
        <v>6051</v>
      </c>
      <c r="B22" s="42" t="s">
        <v>25</v>
      </c>
      <c r="C22" s="37"/>
      <c r="D22" s="37"/>
      <c r="E22" s="38">
        <v>0</v>
      </c>
      <c r="F22" s="38">
        <v>0</v>
      </c>
      <c r="H22" s="122"/>
      <c r="I22" s="89"/>
    </row>
    <row r="23" spans="1:9" s="6" customFormat="1" x14ac:dyDescent="0.2">
      <c r="A23" s="32" t="s">
        <v>26</v>
      </c>
      <c r="B23" s="33" t="s">
        <v>27</v>
      </c>
      <c r="C23" s="18">
        <f>SUM(C24:C32)</f>
        <v>339238674</v>
      </c>
      <c r="D23" s="18">
        <f>SUM(D24:D32)</f>
        <v>366350812</v>
      </c>
      <c r="E23" s="19">
        <f t="shared" si="2"/>
        <v>1.0799205399558895</v>
      </c>
      <c r="F23" s="19">
        <f t="shared" si="3"/>
        <v>0.91971259149539064</v>
      </c>
      <c r="G23" s="130"/>
      <c r="H23" s="118">
        <f>SUM(H24:H32)</f>
        <v>339238674</v>
      </c>
      <c r="I23" s="88">
        <f>SUM(I24:I32)</f>
        <v>312002080</v>
      </c>
    </row>
    <row r="24" spans="1:9" x14ac:dyDescent="0.2">
      <c r="A24" s="34" t="s">
        <v>28</v>
      </c>
      <c r="B24" s="35" t="s">
        <v>29</v>
      </c>
      <c r="C24" s="115">
        <f>2.45*1390000*3</f>
        <v>10216500.000000002</v>
      </c>
      <c r="D24" s="94">
        <f>9334499+882000</f>
        <v>10216499</v>
      </c>
      <c r="E24" s="38">
        <f t="shared" si="2"/>
        <v>0.99999990211912082</v>
      </c>
      <c r="F24" s="38">
        <f t="shared" si="3"/>
        <v>0.93525179856115093</v>
      </c>
      <c r="H24" s="121">
        <f>2.45*1390000*3</f>
        <v>10216500.000000002</v>
      </c>
      <c r="I24" s="94">
        <v>9555000</v>
      </c>
    </row>
    <row r="25" spans="1:9" x14ac:dyDescent="0.2">
      <c r="A25" s="34" t="s">
        <v>30</v>
      </c>
      <c r="B25" s="35" t="s">
        <v>31</v>
      </c>
      <c r="C25" s="115">
        <f>4*1390000*3</f>
        <v>16680000</v>
      </c>
      <c r="D25" s="94">
        <f>14859000+1404000</f>
        <v>16263000</v>
      </c>
      <c r="E25" s="38">
        <f t="shared" si="2"/>
        <v>0.97499999999999998</v>
      </c>
      <c r="F25" s="38">
        <f t="shared" si="3"/>
        <v>0.93525179856115104</v>
      </c>
      <c r="H25" s="121">
        <f>4*1390000*3</f>
        <v>16680000</v>
      </c>
      <c r="I25" s="94">
        <v>15600000</v>
      </c>
    </row>
    <row r="26" spans="1:9" hidden="1" x14ac:dyDescent="0.2">
      <c r="A26" s="34" t="s">
        <v>32</v>
      </c>
      <c r="B26" s="35" t="s">
        <v>33</v>
      </c>
      <c r="C26" s="116"/>
      <c r="D26" s="95"/>
      <c r="E26" s="38"/>
      <c r="F26" s="38">
        <v>0</v>
      </c>
      <c r="H26" s="123"/>
    </row>
    <row r="27" spans="1:9" hidden="1" x14ac:dyDescent="0.2">
      <c r="A27" s="34" t="s">
        <v>34</v>
      </c>
      <c r="B27" s="35" t="s">
        <v>35</v>
      </c>
      <c r="C27" s="115"/>
      <c r="D27" s="95"/>
      <c r="E27" s="38"/>
      <c r="F27" s="38"/>
      <c r="H27" s="121"/>
    </row>
    <row r="28" spans="1:9" x14ac:dyDescent="0.2">
      <c r="A28" s="34" t="s">
        <v>36</v>
      </c>
      <c r="B28" s="35" t="s">
        <v>37</v>
      </c>
      <c r="C28" s="116">
        <f>2.46*1390000*3*20%+107.92*1390000*3*50%</f>
        <v>227064840</v>
      </c>
      <c r="D28" s="95">
        <f>225946870+20047320</f>
        <v>245994190</v>
      </c>
      <c r="E28" s="38">
        <f t="shared" ref="E28" si="5">(D28/C28)</f>
        <v>1.0833653946599571</v>
      </c>
      <c r="F28" s="38">
        <f t="shared" si="3"/>
        <v>0.93173077786944025</v>
      </c>
      <c r="H28" s="123">
        <f>2.46*1390000*3*20%+107.92*1390000*3*50%</f>
        <v>227064840</v>
      </c>
      <c r="I28" s="94">
        <v>211563300</v>
      </c>
    </row>
    <row r="29" spans="1:9" x14ac:dyDescent="0.2">
      <c r="A29" s="43">
        <v>6113</v>
      </c>
      <c r="B29" s="35" t="s">
        <v>38</v>
      </c>
      <c r="C29" s="115">
        <f>3*0.4*1390000</f>
        <v>1668000.0000000002</v>
      </c>
      <c r="D29" s="95">
        <f>1524000+144000</f>
        <v>1668000</v>
      </c>
      <c r="E29" s="38">
        <f t="shared" si="2"/>
        <v>0.99999999999999989</v>
      </c>
      <c r="F29" s="38">
        <f t="shared" si="3"/>
        <v>0.93525179856115093</v>
      </c>
      <c r="H29" s="121">
        <f>3*0.4*1390000</f>
        <v>1668000.0000000002</v>
      </c>
      <c r="I29" s="94">
        <v>1560000</v>
      </c>
    </row>
    <row r="30" spans="1:9" hidden="1" x14ac:dyDescent="0.2">
      <c r="A30" s="44">
        <v>6113</v>
      </c>
      <c r="B30" s="45" t="s">
        <v>39</v>
      </c>
      <c r="C30" s="116"/>
      <c r="D30" s="95"/>
      <c r="E30" s="38"/>
      <c r="F30" s="38">
        <v>0</v>
      </c>
      <c r="H30" s="123"/>
      <c r="I30" s="94"/>
    </row>
    <row r="31" spans="1:9" x14ac:dyDescent="0.2">
      <c r="A31" s="44">
        <v>6115</v>
      </c>
      <c r="B31" s="45" t="s">
        <v>40</v>
      </c>
      <c r="C31" s="116">
        <v>83609334</v>
      </c>
      <c r="D31" s="95">
        <f>84763316+7445807</f>
        <v>92209123</v>
      </c>
      <c r="E31" s="38">
        <f t="shared" si="2"/>
        <v>1.1028568054375365</v>
      </c>
      <c r="F31" s="38">
        <f t="shared" si="3"/>
        <v>0.88176494743995926</v>
      </c>
      <c r="H31" s="123">
        <v>83609334</v>
      </c>
      <c r="I31" s="94">
        <v>73723780</v>
      </c>
    </row>
    <row r="32" spans="1:9" hidden="1" x14ac:dyDescent="0.2">
      <c r="A32" s="44">
        <v>6115</v>
      </c>
      <c r="B32" s="45" t="s">
        <v>41</v>
      </c>
      <c r="C32" s="37"/>
      <c r="D32" s="37"/>
      <c r="E32" s="38"/>
      <c r="F32" s="38" t="e">
        <f t="shared" si="3"/>
        <v>#DIV/0!</v>
      </c>
      <c r="H32" s="122"/>
    </row>
    <row r="33" spans="1:9" s="6" customFormat="1" x14ac:dyDescent="0.2">
      <c r="A33" s="32" t="s">
        <v>42</v>
      </c>
      <c r="B33" s="33" t="s">
        <v>43</v>
      </c>
      <c r="C33" s="18">
        <f>SUM(C34:C35)</f>
        <v>3400000</v>
      </c>
      <c r="D33" s="18">
        <f>SUM(D34:D35)</f>
        <v>1600000</v>
      </c>
      <c r="E33" s="19">
        <f t="shared" si="2"/>
        <v>0.47058823529411764</v>
      </c>
      <c r="F33" s="38">
        <f t="shared" si="3"/>
        <v>0</v>
      </c>
      <c r="G33" s="130"/>
      <c r="H33" s="118">
        <f>SUM(H34:H35)</f>
        <v>3400000</v>
      </c>
      <c r="I33" s="7">
        <f>SUM(I34:I35)</f>
        <v>0</v>
      </c>
    </row>
    <row r="34" spans="1:9" x14ac:dyDescent="0.2">
      <c r="A34" s="34" t="s">
        <v>44</v>
      </c>
      <c r="B34" s="35" t="s">
        <v>45</v>
      </c>
      <c r="C34" s="115">
        <v>2800000</v>
      </c>
      <c r="D34" s="37">
        <v>0</v>
      </c>
      <c r="E34" s="19">
        <f t="shared" si="2"/>
        <v>0</v>
      </c>
      <c r="F34" s="38">
        <f t="shared" si="3"/>
        <v>0</v>
      </c>
      <c r="H34" s="121">
        <v>2800000</v>
      </c>
    </row>
    <row r="35" spans="1:9" x14ac:dyDescent="0.2">
      <c r="A35" s="34" t="s">
        <v>46</v>
      </c>
      <c r="B35" s="35" t="s">
        <v>47</v>
      </c>
      <c r="C35" s="115">
        <f>3*5000*40</f>
        <v>600000</v>
      </c>
      <c r="D35" s="18">
        <v>1600000</v>
      </c>
      <c r="E35" s="38">
        <f t="shared" si="2"/>
        <v>2.6666666666666665</v>
      </c>
      <c r="F35" s="38">
        <f t="shared" si="3"/>
        <v>0</v>
      </c>
      <c r="H35" s="121">
        <f>3*5000*40</f>
        <v>600000</v>
      </c>
    </row>
    <row r="36" spans="1:9" s="6" customFormat="1" x14ac:dyDescent="0.2">
      <c r="A36" s="32" t="s">
        <v>48</v>
      </c>
      <c r="B36" s="33" t="s">
        <v>49</v>
      </c>
      <c r="C36" s="18">
        <f>SUM(C37:C40)</f>
        <v>151549038</v>
      </c>
      <c r="D36" s="18">
        <f t="shared" ref="D36" si="6">SUM(D37:D40)</f>
        <v>159835484</v>
      </c>
      <c r="E36" s="19">
        <f t="shared" si="2"/>
        <v>1.0546783147511634</v>
      </c>
      <c r="F36" s="19">
        <f t="shared" si="3"/>
        <v>0.9124307275378416</v>
      </c>
      <c r="G36" s="130"/>
      <c r="H36" s="118">
        <f>SUM(H37:H40)</f>
        <v>151549038</v>
      </c>
      <c r="I36" s="7">
        <f>SUM(I37:I40)</f>
        <v>138277999</v>
      </c>
    </row>
    <row r="37" spans="1:9" x14ac:dyDescent="0.2">
      <c r="A37" s="34" t="s">
        <v>50</v>
      </c>
      <c r="B37" s="35" t="s">
        <v>51</v>
      </c>
      <c r="C37" s="115">
        <v>113016528</v>
      </c>
      <c r="D37" s="94">
        <f>110089209+9831326</f>
        <v>119920535</v>
      </c>
      <c r="E37" s="38">
        <f t="shared" si="2"/>
        <v>1.0610884719445637</v>
      </c>
      <c r="F37" s="38">
        <f t="shared" si="3"/>
        <v>0.92216743731500939</v>
      </c>
      <c r="H37" s="121">
        <v>113016528</v>
      </c>
      <c r="I37" s="94">
        <v>104220162</v>
      </c>
    </row>
    <row r="38" spans="1:9" x14ac:dyDescent="0.2">
      <c r="A38" s="34" t="s">
        <v>52</v>
      </c>
      <c r="B38" s="35" t="s">
        <v>53</v>
      </c>
      <c r="C38" s="115">
        <v>19374262</v>
      </c>
      <c r="D38" s="94">
        <f>18872435+1685370</f>
        <v>20557805</v>
      </c>
      <c r="E38" s="38">
        <f t="shared" si="2"/>
        <v>1.0610884172000978</v>
      </c>
      <c r="F38" s="38">
        <f t="shared" si="3"/>
        <v>0.92216746113993919</v>
      </c>
      <c r="H38" s="121">
        <v>19374262</v>
      </c>
      <c r="I38" s="94">
        <v>17866314</v>
      </c>
    </row>
    <row r="39" spans="1:9" x14ac:dyDescent="0.2">
      <c r="A39" s="34" t="s">
        <v>54</v>
      </c>
      <c r="B39" s="35" t="s">
        <v>55</v>
      </c>
      <c r="C39" s="115">
        <v>12916175</v>
      </c>
      <c r="D39" s="94">
        <f>2405836+10313299</f>
        <v>12719135</v>
      </c>
      <c r="E39" s="38">
        <f t="shared" si="2"/>
        <v>0.98474470963733463</v>
      </c>
      <c r="F39" s="38">
        <f t="shared" si="3"/>
        <v>0.80801011135262568</v>
      </c>
      <c r="H39" s="121">
        <v>12916175</v>
      </c>
      <c r="I39" s="94">
        <v>10436400</v>
      </c>
    </row>
    <row r="40" spans="1:9" x14ac:dyDescent="0.2">
      <c r="A40" s="34" t="s">
        <v>56</v>
      </c>
      <c r="B40" s="35" t="s">
        <v>57</v>
      </c>
      <c r="C40" s="115">
        <v>6242073</v>
      </c>
      <c r="D40" s="94">
        <f>543141+6094868</f>
        <v>6638009</v>
      </c>
      <c r="E40" s="38">
        <f t="shared" si="2"/>
        <v>1.0634302098036983</v>
      </c>
      <c r="F40" s="38">
        <f t="shared" si="3"/>
        <v>0.92198905716097845</v>
      </c>
      <c r="H40" s="121">
        <v>6242073</v>
      </c>
      <c r="I40" s="94">
        <v>5755123</v>
      </c>
    </row>
    <row r="41" spans="1:9" s="6" customFormat="1" x14ac:dyDescent="0.2">
      <c r="A41" s="46" t="s">
        <v>58</v>
      </c>
      <c r="B41" s="47" t="s">
        <v>59</v>
      </c>
      <c r="C41" s="18">
        <f>C42</f>
        <v>3000000</v>
      </c>
      <c r="D41" s="18">
        <f>D42</f>
        <v>0</v>
      </c>
      <c r="E41" s="19">
        <f>D41/C41</f>
        <v>0</v>
      </c>
      <c r="F41" s="19">
        <v>0</v>
      </c>
      <c r="G41" s="130"/>
      <c r="H41" s="118">
        <f>H42</f>
        <v>3000000</v>
      </c>
      <c r="I41" s="7">
        <v>0</v>
      </c>
    </row>
    <row r="42" spans="1:9" x14ac:dyDescent="0.2">
      <c r="A42" s="34" t="s">
        <v>60</v>
      </c>
      <c r="B42" s="35" t="s">
        <v>61</v>
      </c>
      <c r="C42" s="37">
        <v>3000000</v>
      </c>
      <c r="D42" s="95"/>
      <c r="E42" s="38">
        <f>D42/C42</f>
        <v>0</v>
      </c>
      <c r="F42" s="38">
        <v>0</v>
      </c>
      <c r="H42" s="122">
        <v>3000000</v>
      </c>
    </row>
    <row r="43" spans="1:9" s="31" customFormat="1" ht="13.5" x14ac:dyDescent="0.25">
      <c r="A43" s="48" t="s">
        <v>62</v>
      </c>
      <c r="B43" s="49"/>
      <c r="C43" s="50">
        <f>C44+C49+C53+C58+C62+C68+C72+C78+C81</f>
        <v>160076500</v>
      </c>
      <c r="D43" s="50">
        <f>D44+D49+D53+D58+D62+D68+D72+D78+D81</f>
        <v>46979402</v>
      </c>
      <c r="E43" s="51">
        <f t="shared" si="2"/>
        <v>0.2934809419246423</v>
      </c>
      <c r="F43" s="52">
        <f t="shared" si="3"/>
        <v>0.5046664376095179</v>
      </c>
      <c r="G43" s="138"/>
      <c r="H43" s="124">
        <f>H44+H49+H53+H58+H62+H68+H72+H78+H81</f>
        <v>160076500</v>
      </c>
      <c r="I43" s="30">
        <f>I44+I49+I53+I58+I62+I68+I72+I81</f>
        <v>80785237</v>
      </c>
    </row>
    <row r="44" spans="1:9" s="6" customFormat="1" x14ac:dyDescent="0.2">
      <c r="A44" s="32" t="s">
        <v>63</v>
      </c>
      <c r="B44" s="33" t="s">
        <v>64</v>
      </c>
      <c r="C44" s="18">
        <f>SUM(C45:C48)</f>
        <v>16800000</v>
      </c>
      <c r="D44" s="18">
        <f t="shared" ref="D44" si="7">SUM(D45:D48)</f>
        <v>13941625</v>
      </c>
      <c r="E44" s="19">
        <f t="shared" si="2"/>
        <v>0.82985863095238099</v>
      </c>
      <c r="F44" s="19">
        <f t="shared" si="3"/>
        <v>0.75511726190476192</v>
      </c>
      <c r="G44" s="130"/>
      <c r="H44" s="118">
        <f>SUM(H45:H48)</f>
        <v>16800000</v>
      </c>
      <c r="I44" s="7">
        <f>SUM(I45:I48)</f>
        <v>12685970</v>
      </c>
    </row>
    <row r="45" spans="1:9" x14ac:dyDescent="0.2">
      <c r="A45" s="34" t="s">
        <v>65</v>
      </c>
      <c r="B45" s="35" t="s">
        <v>66</v>
      </c>
      <c r="C45" s="115">
        <f>5000000*3</f>
        <v>15000000</v>
      </c>
      <c r="D45" s="95">
        <v>11240625</v>
      </c>
      <c r="E45" s="38">
        <f t="shared" si="2"/>
        <v>0.74937500000000001</v>
      </c>
      <c r="F45" s="38">
        <f t="shared" si="3"/>
        <v>0.76975800000000005</v>
      </c>
      <c r="H45" s="121">
        <f>5000000*3</f>
        <v>15000000</v>
      </c>
      <c r="I45" s="95">
        <v>11546370</v>
      </c>
    </row>
    <row r="46" spans="1:9" x14ac:dyDescent="0.2">
      <c r="A46" s="34" t="s">
        <v>67</v>
      </c>
      <c r="B46" s="35" t="s">
        <v>68</v>
      </c>
      <c r="C46" s="115">
        <v>1500000</v>
      </c>
      <c r="D46" s="95">
        <v>2701000</v>
      </c>
      <c r="E46" s="38">
        <f t="shared" si="2"/>
        <v>1.8006666666666666</v>
      </c>
      <c r="F46" s="38">
        <f t="shared" si="3"/>
        <v>0.75973333333333337</v>
      </c>
      <c r="H46" s="121">
        <v>1500000</v>
      </c>
      <c r="I46" s="95">
        <v>1139600</v>
      </c>
    </row>
    <row r="47" spans="1:9" hidden="1" x14ac:dyDescent="0.2">
      <c r="A47" s="34" t="s">
        <v>69</v>
      </c>
      <c r="B47" s="35" t="s">
        <v>70</v>
      </c>
      <c r="C47" s="115"/>
      <c r="D47" s="95"/>
      <c r="E47" s="38"/>
      <c r="F47" s="38">
        <v>0</v>
      </c>
      <c r="H47" s="121"/>
    </row>
    <row r="48" spans="1:9" x14ac:dyDescent="0.2">
      <c r="A48" s="34" t="s">
        <v>71</v>
      </c>
      <c r="B48" s="35" t="s">
        <v>72</v>
      </c>
      <c r="C48" s="115">
        <v>300000</v>
      </c>
      <c r="D48" s="95"/>
      <c r="E48" s="38">
        <f t="shared" si="2"/>
        <v>0</v>
      </c>
      <c r="F48" s="38">
        <f t="shared" si="3"/>
        <v>0</v>
      </c>
      <c r="H48" s="121">
        <v>300000</v>
      </c>
    </row>
    <row r="49" spans="1:9" s="6" customFormat="1" x14ac:dyDescent="0.2">
      <c r="A49" s="32" t="s">
        <v>73</v>
      </c>
      <c r="B49" s="33" t="s">
        <v>74</v>
      </c>
      <c r="C49" s="18">
        <f>SUM(C50:C52)</f>
        <v>25500000</v>
      </c>
      <c r="D49" s="18">
        <f t="shared" ref="D49" si="8">SUM(D50:D52)</f>
        <v>750000</v>
      </c>
      <c r="E49" s="19">
        <f t="shared" si="2"/>
        <v>2.9411764705882353E-2</v>
      </c>
      <c r="F49" s="19">
        <f t="shared" si="3"/>
        <v>0.27882352941176469</v>
      </c>
      <c r="G49" s="130"/>
      <c r="H49" s="118">
        <f>SUM(H50:H52)</f>
        <v>25500000</v>
      </c>
      <c r="I49" s="7">
        <f>SUM(I50:I52)</f>
        <v>7110000</v>
      </c>
    </row>
    <row r="50" spans="1:9" x14ac:dyDescent="0.2">
      <c r="A50" s="34" t="s">
        <v>75</v>
      </c>
      <c r="B50" s="35" t="s">
        <v>76</v>
      </c>
      <c r="C50" s="115">
        <f>3500000*3</f>
        <v>10500000</v>
      </c>
      <c r="D50" s="95"/>
      <c r="E50" s="38">
        <f t="shared" si="2"/>
        <v>0</v>
      </c>
      <c r="F50" s="38">
        <f t="shared" si="3"/>
        <v>0.30714285714285716</v>
      </c>
      <c r="H50" s="121">
        <f>3500000*3</f>
        <v>10500000</v>
      </c>
      <c r="I50" s="95">
        <v>3225000</v>
      </c>
    </row>
    <row r="51" spans="1:9" x14ac:dyDescent="0.2">
      <c r="A51" s="34" t="s">
        <v>77</v>
      </c>
      <c r="B51" s="35" t="s">
        <v>78</v>
      </c>
      <c r="C51" s="115">
        <v>9000000</v>
      </c>
      <c r="D51" s="95"/>
      <c r="E51" s="38">
        <f t="shared" si="2"/>
        <v>0</v>
      </c>
      <c r="F51" s="38">
        <f t="shared" si="3"/>
        <v>0</v>
      </c>
      <c r="H51" s="121">
        <v>9000000</v>
      </c>
      <c r="I51" s="95"/>
    </row>
    <row r="52" spans="1:9" x14ac:dyDescent="0.2">
      <c r="A52" s="34" t="s">
        <v>79</v>
      </c>
      <c r="B52" s="35" t="s">
        <v>80</v>
      </c>
      <c r="C52" s="115">
        <v>6000000</v>
      </c>
      <c r="D52" s="95">
        <v>750000</v>
      </c>
      <c r="E52" s="38">
        <f t="shared" si="2"/>
        <v>0.125</v>
      </c>
      <c r="F52" s="38">
        <f t="shared" si="3"/>
        <v>0.64749999999999996</v>
      </c>
      <c r="H52" s="121">
        <v>6000000</v>
      </c>
      <c r="I52" s="95">
        <v>3885000</v>
      </c>
    </row>
    <row r="53" spans="1:9" s="6" customFormat="1" x14ac:dyDescent="0.2">
      <c r="A53" s="32" t="s">
        <v>81</v>
      </c>
      <c r="B53" s="33" t="s">
        <v>82</v>
      </c>
      <c r="C53" s="18">
        <f>SUM(C54:C57)</f>
        <v>3950000</v>
      </c>
      <c r="D53" s="18">
        <f>SUM(D54:D57)</f>
        <v>1461777</v>
      </c>
      <c r="E53" s="19">
        <f t="shared" si="2"/>
        <v>0.3700701265822785</v>
      </c>
      <c r="F53" s="19">
        <f t="shared" si="3"/>
        <v>0.45854860759493671</v>
      </c>
      <c r="G53" s="130"/>
      <c r="H53" s="118">
        <f>SUM(H54:H57)</f>
        <v>3950000</v>
      </c>
      <c r="I53" s="7">
        <f>SUM(I54:I57)</f>
        <v>1811267</v>
      </c>
    </row>
    <row r="54" spans="1:9" x14ac:dyDescent="0.2">
      <c r="A54" s="53">
        <v>6601</v>
      </c>
      <c r="B54" s="54" t="s">
        <v>83</v>
      </c>
      <c r="C54" s="115">
        <v>600000</v>
      </c>
      <c r="D54" s="95">
        <v>111777</v>
      </c>
      <c r="E54" s="38">
        <f t="shared" si="2"/>
        <v>0.18629499999999999</v>
      </c>
      <c r="F54" s="38">
        <f t="shared" si="3"/>
        <v>0.76877833333333334</v>
      </c>
      <c r="H54" s="121">
        <v>600000</v>
      </c>
      <c r="I54" s="95">
        <v>461267</v>
      </c>
    </row>
    <row r="55" spans="1:9" x14ac:dyDescent="0.2">
      <c r="A55" s="53">
        <v>6605</v>
      </c>
      <c r="B55" s="54" t="s">
        <v>84</v>
      </c>
      <c r="C55" s="115">
        <v>2000000</v>
      </c>
      <c r="D55" s="95"/>
      <c r="E55" s="38">
        <f t="shared" si="2"/>
        <v>0</v>
      </c>
      <c r="F55" s="38">
        <v>0</v>
      </c>
      <c r="H55" s="121">
        <v>2000000</v>
      </c>
    </row>
    <row r="56" spans="1:9" hidden="1" x14ac:dyDescent="0.2">
      <c r="A56" s="53">
        <v>6608</v>
      </c>
      <c r="B56" s="54" t="s">
        <v>85</v>
      </c>
      <c r="C56" s="115"/>
      <c r="D56" s="95"/>
      <c r="E56" s="38"/>
      <c r="F56" s="38">
        <v>0</v>
      </c>
      <c r="H56" s="121"/>
    </row>
    <row r="57" spans="1:9" x14ac:dyDescent="0.2">
      <c r="A57" s="53">
        <v>6618</v>
      </c>
      <c r="B57" s="54" t="s">
        <v>86</v>
      </c>
      <c r="C57" s="115">
        <f>150000*3*3</f>
        <v>1350000</v>
      </c>
      <c r="D57" s="95">
        <v>1350000</v>
      </c>
      <c r="E57" s="38">
        <f t="shared" si="2"/>
        <v>1</v>
      </c>
      <c r="F57" s="38">
        <v>0</v>
      </c>
      <c r="H57" s="121">
        <f>150000*3*3</f>
        <v>1350000</v>
      </c>
      <c r="I57" s="95">
        <v>1350000</v>
      </c>
    </row>
    <row r="58" spans="1:9" s="6" customFormat="1" hidden="1" x14ac:dyDescent="0.2">
      <c r="A58" s="32" t="s">
        <v>87</v>
      </c>
      <c r="B58" s="33" t="s">
        <v>88</v>
      </c>
      <c r="C58" s="18">
        <f>SUM(C59:C61)</f>
        <v>0</v>
      </c>
      <c r="D58" s="18">
        <f>SUM(D59:D61)</f>
        <v>0</v>
      </c>
      <c r="E58" s="19"/>
      <c r="F58" s="19"/>
      <c r="G58" s="130"/>
      <c r="H58" s="118">
        <f>SUM(H59:H61)</f>
        <v>0</v>
      </c>
      <c r="I58" s="7">
        <f>SUM(I59:I61)</f>
        <v>0</v>
      </c>
    </row>
    <row r="59" spans="1:9" hidden="1" x14ac:dyDescent="0.2">
      <c r="A59" s="34" t="s">
        <v>89</v>
      </c>
      <c r="B59" s="35" t="s">
        <v>90</v>
      </c>
      <c r="C59" s="37"/>
      <c r="D59" s="95"/>
      <c r="E59" s="38">
        <v>0</v>
      </c>
      <c r="F59" s="38">
        <v>0</v>
      </c>
      <c r="H59" s="122"/>
    </row>
    <row r="60" spans="1:9" hidden="1" x14ac:dyDescent="0.2">
      <c r="A60" s="34" t="s">
        <v>91</v>
      </c>
      <c r="B60" s="35" t="s">
        <v>92</v>
      </c>
      <c r="C60" s="37"/>
      <c r="D60" s="96"/>
      <c r="E60" s="38"/>
      <c r="F60" s="38"/>
      <c r="H60" s="122"/>
    </row>
    <row r="61" spans="1:9" hidden="1" x14ac:dyDescent="0.2">
      <c r="A61" s="34" t="s">
        <v>91</v>
      </c>
      <c r="B61" s="35" t="s">
        <v>93</v>
      </c>
      <c r="C61" s="37"/>
      <c r="D61" s="95"/>
      <c r="E61" s="38"/>
      <c r="F61" s="38"/>
      <c r="H61" s="122"/>
    </row>
    <row r="62" spans="1:9" s="6" customFormat="1" x14ac:dyDescent="0.2">
      <c r="A62" s="32" t="s">
        <v>94</v>
      </c>
      <c r="B62" s="33" t="s">
        <v>95</v>
      </c>
      <c r="C62" s="18">
        <f>SUM(C63:C67)</f>
        <v>17500000</v>
      </c>
      <c r="D62" s="18">
        <f t="shared" ref="D62" si="9">SUM(D63:D67)</f>
        <v>5822000</v>
      </c>
      <c r="E62" s="19">
        <f t="shared" si="2"/>
        <v>0.33268571428571431</v>
      </c>
      <c r="F62" s="19">
        <f t="shared" si="3"/>
        <v>0.25714285714285712</v>
      </c>
      <c r="G62" s="130"/>
      <c r="H62" s="118">
        <f>SUM(H63:H67)</f>
        <v>17500000</v>
      </c>
      <c r="I62" s="7">
        <f>SUM(I63:I67)</f>
        <v>4500000</v>
      </c>
    </row>
    <row r="63" spans="1:9" x14ac:dyDescent="0.2">
      <c r="A63" s="34" t="s">
        <v>96</v>
      </c>
      <c r="B63" s="35" t="s">
        <v>97</v>
      </c>
      <c r="C63" s="115">
        <v>1300000</v>
      </c>
      <c r="D63" s="95">
        <v>347000</v>
      </c>
      <c r="E63" s="38">
        <f t="shared" si="2"/>
        <v>0.26692307692307693</v>
      </c>
      <c r="F63" s="38">
        <f t="shared" si="3"/>
        <v>0</v>
      </c>
      <c r="H63" s="121">
        <v>1300000</v>
      </c>
    </row>
    <row r="64" spans="1:9" x14ac:dyDescent="0.2">
      <c r="A64" s="34" t="s">
        <v>98</v>
      </c>
      <c r="B64" s="35" t="s">
        <v>99</v>
      </c>
      <c r="C64" s="115">
        <v>8700000</v>
      </c>
      <c r="D64" s="95">
        <v>975000</v>
      </c>
      <c r="E64" s="38">
        <f t="shared" si="2"/>
        <v>0.11206896551724138</v>
      </c>
      <c r="F64" s="38">
        <f t="shared" si="3"/>
        <v>0</v>
      </c>
      <c r="H64" s="121">
        <v>8700000</v>
      </c>
    </row>
    <row r="65" spans="1:9" x14ac:dyDescent="0.2">
      <c r="A65" s="34" t="s">
        <v>100</v>
      </c>
      <c r="B65" s="35" t="s">
        <v>101</v>
      </c>
      <c r="C65" s="115">
        <v>3000000</v>
      </c>
      <c r="D65" s="95"/>
      <c r="E65" s="38">
        <f t="shared" si="2"/>
        <v>0</v>
      </c>
      <c r="F65" s="38">
        <f t="shared" si="3"/>
        <v>0</v>
      </c>
      <c r="H65" s="121">
        <v>3000000</v>
      </c>
    </row>
    <row r="66" spans="1:9" x14ac:dyDescent="0.2">
      <c r="A66" s="34" t="s">
        <v>102</v>
      </c>
      <c r="B66" s="35" t="s">
        <v>103</v>
      </c>
      <c r="C66" s="115">
        <f>500000*3*3</f>
        <v>4500000</v>
      </c>
      <c r="D66" s="95">
        <v>4500000</v>
      </c>
      <c r="E66" s="38">
        <f t="shared" si="2"/>
        <v>1</v>
      </c>
      <c r="F66" s="38">
        <f t="shared" si="3"/>
        <v>1</v>
      </c>
      <c r="H66" s="121">
        <f>500000*3*3</f>
        <v>4500000</v>
      </c>
      <c r="I66" s="95">
        <v>4500000</v>
      </c>
    </row>
    <row r="67" spans="1:9" ht="15.75" hidden="1" x14ac:dyDescent="0.25">
      <c r="A67" s="34" t="s">
        <v>104</v>
      </c>
      <c r="B67" s="35" t="s">
        <v>105</v>
      </c>
      <c r="C67" s="37"/>
      <c r="D67" s="97"/>
      <c r="E67" s="38">
        <v>0</v>
      </c>
      <c r="F67" s="38"/>
      <c r="H67" s="122"/>
      <c r="I67" s="1">
        <v>0</v>
      </c>
    </row>
    <row r="68" spans="1:9" s="6" customFormat="1" x14ac:dyDescent="0.2">
      <c r="A68" s="32" t="s">
        <v>106</v>
      </c>
      <c r="B68" s="33" t="s">
        <v>107</v>
      </c>
      <c r="C68" s="18">
        <f>SUM(C69:C71)</f>
        <v>6500000</v>
      </c>
      <c r="D68" s="18">
        <f t="shared" ref="D68" si="10">SUM(D69:D71)</f>
        <v>0</v>
      </c>
      <c r="E68" s="19">
        <f t="shared" si="2"/>
        <v>0</v>
      </c>
      <c r="F68" s="19">
        <f t="shared" si="3"/>
        <v>0</v>
      </c>
      <c r="G68" s="130"/>
      <c r="H68" s="118">
        <f>SUM(H69:H71)</f>
        <v>6500000</v>
      </c>
      <c r="I68" s="7">
        <f>SUM(I69:I71)</f>
        <v>0</v>
      </c>
    </row>
    <row r="69" spans="1:9" ht="15.75" x14ac:dyDescent="0.25">
      <c r="A69" s="34" t="s">
        <v>108</v>
      </c>
      <c r="B69" s="35" t="s">
        <v>109</v>
      </c>
      <c r="C69" s="115">
        <v>3000000</v>
      </c>
      <c r="D69" s="97"/>
      <c r="E69" s="38">
        <f t="shared" si="2"/>
        <v>0</v>
      </c>
      <c r="F69" s="38">
        <v>0</v>
      </c>
      <c r="H69" s="121">
        <v>3000000</v>
      </c>
    </row>
    <row r="70" spans="1:9" ht="15.75" hidden="1" x14ac:dyDescent="0.25">
      <c r="A70" s="34" t="s">
        <v>110</v>
      </c>
      <c r="B70" s="35" t="s">
        <v>111</v>
      </c>
      <c r="C70" s="115"/>
      <c r="D70" s="97"/>
      <c r="E70" s="38"/>
      <c r="F70" s="38">
        <v>0</v>
      </c>
      <c r="H70" s="121"/>
    </row>
    <row r="71" spans="1:9" x14ac:dyDescent="0.2">
      <c r="A71" s="34" t="s">
        <v>112</v>
      </c>
      <c r="B71" s="55" t="s">
        <v>113</v>
      </c>
      <c r="C71" s="115">
        <v>3500000</v>
      </c>
      <c r="D71" s="95"/>
      <c r="E71" s="38">
        <v>0</v>
      </c>
      <c r="F71" s="38">
        <v>0</v>
      </c>
      <c r="H71" s="121">
        <v>3500000</v>
      </c>
    </row>
    <row r="72" spans="1:9" s="6" customFormat="1" x14ac:dyDescent="0.2">
      <c r="A72" s="32" t="s">
        <v>114</v>
      </c>
      <c r="B72" s="33" t="s">
        <v>115</v>
      </c>
      <c r="C72" s="18">
        <f>SUM(C73:C77)</f>
        <v>39500000</v>
      </c>
      <c r="D72" s="18">
        <f>SUM(D73:D80)</f>
        <v>2510000</v>
      </c>
      <c r="E72" s="19">
        <f t="shared" si="2"/>
        <v>6.3544303797468352E-2</v>
      </c>
      <c r="F72" s="19">
        <f t="shared" si="3"/>
        <v>1.0784810126582278</v>
      </c>
      <c r="G72" s="130"/>
      <c r="H72" s="118">
        <f>SUM(H73:H77)</f>
        <v>39500000</v>
      </c>
      <c r="I72" s="7">
        <f>SUM(I73:I77)</f>
        <v>42600000</v>
      </c>
    </row>
    <row r="73" spans="1:9" x14ac:dyDescent="0.2">
      <c r="A73" s="56" t="s">
        <v>116</v>
      </c>
      <c r="B73" s="57" t="s">
        <v>117</v>
      </c>
      <c r="C73" s="115">
        <v>10000000</v>
      </c>
      <c r="D73" s="96"/>
      <c r="E73" s="38">
        <f t="shared" si="2"/>
        <v>0</v>
      </c>
      <c r="F73" s="38">
        <f t="shared" si="3"/>
        <v>0</v>
      </c>
      <c r="H73" s="121">
        <v>10000000</v>
      </c>
    </row>
    <row r="74" spans="1:9" x14ac:dyDescent="0.2">
      <c r="A74" s="58">
        <v>6912</v>
      </c>
      <c r="B74" s="57" t="s">
        <v>118</v>
      </c>
      <c r="C74" s="115">
        <v>10000000</v>
      </c>
      <c r="D74" s="95"/>
      <c r="E74" s="38">
        <f t="shared" si="2"/>
        <v>0</v>
      </c>
      <c r="F74" s="38">
        <f t="shared" si="3"/>
        <v>0</v>
      </c>
      <c r="H74" s="121">
        <v>10000000</v>
      </c>
    </row>
    <row r="75" spans="1:9" ht="25.5" x14ac:dyDescent="0.2">
      <c r="A75" s="59">
        <v>6913</v>
      </c>
      <c r="B75" s="60" t="s">
        <v>119</v>
      </c>
      <c r="C75" s="115">
        <v>7000000</v>
      </c>
      <c r="D75" s="95"/>
      <c r="E75" s="38">
        <f t="shared" si="2"/>
        <v>0</v>
      </c>
      <c r="F75" s="38">
        <v>0</v>
      </c>
      <c r="H75" s="121">
        <v>7000000</v>
      </c>
    </row>
    <row r="76" spans="1:9" x14ac:dyDescent="0.2">
      <c r="A76" s="58">
        <v>6921</v>
      </c>
      <c r="B76" s="57" t="s">
        <v>120</v>
      </c>
      <c r="C76" s="115">
        <v>12500000</v>
      </c>
      <c r="D76" s="95">
        <v>2510000</v>
      </c>
      <c r="E76" s="38">
        <f t="shared" si="2"/>
        <v>0.20080000000000001</v>
      </c>
      <c r="F76" s="38">
        <f t="shared" si="3"/>
        <v>0.80600000000000005</v>
      </c>
      <c r="H76" s="121">
        <v>12500000</v>
      </c>
      <c r="I76" s="95">
        <v>10075000</v>
      </c>
    </row>
    <row r="77" spans="1:9" hidden="1" x14ac:dyDescent="0.2">
      <c r="A77" s="58">
        <v>6949</v>
      </c>
      <c r="B77" s="57" t="s">
        <v>121</v>
      </c>
      <c r="C77" s="37"/>
      <c r="D77" s="95"/>
      <c r="E77" s="38"/>
      <c r="F77" s="38">
        <v>0</v>
      </c>
      <c r="H77" s="122"/>
      <c r="I77" s="95">
        <v>32525000</v>
      </c>
    </row>
    <row r="78" spans="1:9" s="6" customFormat="1" hidden="1" x14ac:dyDescent="0.2">
      <c r="A78" s="61">
        <v>6950</v>
      </c>
      <c r="B78" s="62" t="s">
        <v>122</v>
      </c>
      <c r="C78" s="18">
        <f>SUM(C79:C80)</f>
        <v>0</v>
      </c>
      <c r="D78" s="18">
        <f>SUM(D79:D80)</f>
        <v>0</v>
      </c>
      <c r="E78" s="19"/>
      <c r="F78" s="19">
        <v>0</v>
      </c>
      <c r="G78" s="130"/>
      <c r="H78" s="118">
        <f>SUM(H79:H80)</f>
        <v>0</v>
      </c>
      <c r="I78" s="7"/>
    </row>
    <row r="79" spans="1:9" hidden="1" x14ac:dyDescent="0.2">
      <c r="A79" s="53">
        <v>6999</v>
      </c>
      <c r="B79" s="63" t="s">
        <v>123</v>
      </c>
      <c r="C79" s="37"/>
      <c r="D79" s="37"/>
      <c r="E79" s="38">
        <v>0</v>
      </c>
      <c r="F79" s="38">
        <v>0</v>
      </c>
      <c r="H79" s="122"/>
    </row>
    <row r="80" spans="1:9" hidden="1" x14ac:dyDescent="0.2">
      <c r="A80" s="53">
        <v>6999</v>
      </c>
      <c r="B80" s="63" t="s">
        <v>124</v>
      </c>
      <c r="C80" s="37"/>
      <c r="D80" s="37"/>
      <c r="E80" s="38">
        <v>0</v>
      </c>
      <c r="F80" s="38">
        <v>0</v>
      </c>
      <c r="H80" s="122"/>
    </row>
    <row r="81" spans="1:9" s="6" customFormat="1" x14ac:dyDescent="0.2">
      <c r="A81" s="32" t="s">
        <v>125</v>
      </c>
      <c r="B81" s="33" t="s">
        <v>126</v>
      </c>
      <c r="C81" s="18">
        <f>SUM(C82:C89)</f>
        <v>50326500</v>
      </c>
      <c r="D81" s="18">
        <f>SUM(D82:D89)</f>
        <v>22494000</v>
      </c>
      <c r="E81" s="19">
        <f t="shared" si="2"/>
        <v>0.44696134243390662</v>
      </c>
      <c r="F81" s="19">
        <f t="shared" si="3"/>
        <v>0.23999284671097731</v>
      </c>
      <c r="G81" s="130"/>
      <c r="H81" s="118">
        <f>SUM(H82:H89)</f>
        <v>50326500</v>
      </c>
      <c r="I81" s="7">
        <f>SUM(I82:I89)</f>
        <v>12078000</v>
      </c>
    </row>
    <row r="82" spans="1:9" x14ac:dyDescent="0.2">
      <c r="A82" s="56" t="s">
        <v>127</v>
      </c>
      <c r="B82" s="64" t="s">
        <v>128</v>
      </c>
      <c r="C82" s="115">
        <v>3526500</v>
      </c>
      <c r="D82" s="95">
        <v>1580000</v>
      </c>
      <c r="E82" s="38">
        <f t="shared" si="2"/>
        <v>0.44803629661137107</v>
      </c>
      <c r="F82" s="38">
        <f t="shared" si="3"/>
        <v>9.9248546717708774E-2</v>
      </c>
      <c r="H82" s="121">
        <v>3526500</v>
      </c>
      <c r="I82" s="95">
        <v>350000</v>
      </c>
    </row>
    <row r="83" spans="1:9" hidden="1" x14ac:dyDescent="0.2">
      <c r="A83" s="65" t="s">
        <v>129</v>
      </c>
      <c r="B83" s="54" t="s">
        <v>130</v>
      </c>
      <c r="C83" s="115"/>
      <c r="D83" s="95"/>
      <c r="E83" s="38"/>
      <c r="F83" s="38"/>
      <c r="H83" s="121"/>
    </row>
    <row r="84" spans="1:9" hidden="1" x14ac:dyDescent="0.2">
      <c r="A84" s="66" t="s">
        <v>131</v>
      </c>
      <c r="B84" s="67" t="s">
        <v>132</v>
      </c>
      <c r="C84" s="115"/>
      <c r="D84" s="95"/>
      <c r="E84" s="38"/>
      <c r="F84" s="38"/>
      <c r="H84" s="121"/>
    </row>
    <row r="85" spans="1:9" s="111" customFormat="1" hidden="1" x14ac:dyDescent="0.2">
      <c r="A85" s="106" t="s">
        <v>133</v>
      </c>
      <c r="B85" s="107" t="s">
        <v>134</v>
      </c>
      <c r="C85" s="108"/>
      <c r="D85" s="108"/>
      <c r="E85" s="109"/>
      <c r="F85" s="109"/>
      <c r="G85" s="139"/>
      <c r="H85" s="125"/>
      <c r="I85" s="110"/>
    </row>
    <row r="86" spans="1:9" s="111" customFormat="1" x14ac:dyDescent="0.2">
      <c r="A86" s="106" t="s">
        <v>133</v>
      </c>
      <c r="B86" s="112" t="s">
        <v>135</v>
      </c>
      <c r="C86" s="108">
        <v>21100000</v>
      </c>
      <c r="D86" s="95">
        <v>20914000</v>
      </c>
      <c r="E86" s="109">
        <f t="shared" ref="E86:E132" si="11">(D86/C86)</f>
        <v>0.99118483412322278</v>
      </c>
      <c r="F86" s="109">
        <v>0</v>
      </c>
      <c r="G86" s="139"/>
      <c r="H86" s="125">
        <v>21100000</v>
      </c>
      <c r="I86" s="95">
        <v>11728000</v>
      </c>
    </row>
    <row r="87" spans="1:9" s="111" customFormat="1" x14ac:dyDescent="0.2">
      <c r="A87" s="113" t="s">
        <v>133</v>
      </c>
      <c r="B87" s="114" t="s">
        <v>136</v>
      </c>
      <c r="C87" s="115">
        <v>25700000</v>
      </c>
      <c r="D87" s="108"/>
      <c r="E87" s="109">
        <v>0</v>
      </c>
      <c r="F87" s="109">
        <v>0</v>
      </c>
      <c r="G87" s="139"/>
      <c r="H87" s="121">
        <v>25700000</v>
      </c>
      <c r="I87" s="110"/>
    </row>
    <row r="88" spans="1:9" s="111" customFormat="1" hidden="1" x14ac:dyDescent="0.2">
      <c r="A88" s="106" t="s">
        <v>133</v>
      </c>
      <c r="B88" s="114" t="s">
        <v>137</v>
      </c>
      <c r="C88" s="108"/>
      <c r="D88" s="108"/>
      <c r="E88" s="109">
        <v>0</v>
      </c>
      <c r="F88" s="109">
        <v>0</v>
      </c>
      <c r="G88" s="139"/>
      <c r="H88" s="125"/>
      <c r="I88" s="110"/>
    </row>
    <row r="89" spans="1:9" s="111" customFormat="1" hidden="1" x14ac:dyDescent="0.2">
      <c r="A89" s="106" t="s">
        <v>133</v>
      </c>
      <c r="B89" s="114" t="s">
        <v>138</v>
      </c>
      <c r="C89" s="108"/>
      <c r="D89" s="108"/>
      <c r="E89" s="109"/>
      <c r="F89" s="109">
        <v>0</v>
      </c>
      <c r="G89" s="139"/>
      <c r="H89" s="125"/>
      <c r="I89" s="110"/>
    </row>
    <row r="90" spans="1:9" s="31" customFormat="1" ht="13.5" x14ac:dyDescent="0.25">
      <c r="A90" s="68" t="s">
        <v>139</v>
      </c>
      <c r="B90" s="69"/>
      <c r="C90" s="50">
        <f>C91</f>
        <v>92240000</v>
      </c>
      <c r="D90" s="50">
        <f>D91+D97</f>
        <v>94452500</v>
      </c>
      <c r="E90" s="51">
        <f t="shared" si="11"/>
        <v>1.0239863399826539</v>
      </c>
      <c r="F90" s="52">
        <f t="shared" ref="F90:F132" si="12">(I90/H90)</f>
        <v>5.1496097137901126E-2</v>
      </c>
      <c r="G90" s="138"/>
      <c r="H90" s="124">
        <f>H91</f>
        <v>92240000</v>
      </c>
      <c r="I90" s="30">
        <f>I91</f>
        <v>4750000</v>
      </c>
    </row>
    <row r="91" spans="1:9" s="6" customFormat="1" x14ac:dyDescent="0.2">
      <c r="A91" s="46" t="s">
        <v>140</v>
      </c>
      <c r="B91" s="47" t="s">
        <v>93</v>
      </c>
      <c r="C91" s="18">
        <f>SUM(C92:C96)</f>
        <v>92240000</v>
      </c>
      <c r="D91" s="18">
        <f>SUM(D92:D96)</f>
        <v>94452500</v>
      </c>
      <c r="E91" s="19">
        <f t="shared" si="11"/>
        <v>1.0239863399826539</v>
      </c>
      <c r="F91" s="19">
        <f t="shared" si="12"/>
        <v>5.1496097137901126E-2</v>
      </c>
      <c r="G91" s="130"/>
      <c r="H91" s="118">
        <f>SUM(H92:H96)</f>
        <v>92240000</v>
      </c>
      <c r="I91" s="7">
        <f>SUM(I92:I96)</f>
        <v>4750000</v>
      </c>
    </row>
    <row r="92" spans="1:9" hidden="1" x14ac:dyDescent="0.2">
      <c r="A92" s="65" t="s">
        <v>141</v>
      </c>
      <c r="B92" s="70" t="s">
        <v>142</v>
      </c>
      <c r="C92" s="37"/>
      <c r="D92" s="37"/>
      <c r="E92" s="38"/>
      <c r="F92" s="38">
        <v>0</v>
      </c>
      <c r="H92" s="122"/>
    </row>
    <row r="93" spans="1:9" hidden="1" x14ac:dyDescent="0.2">
      <c r="A93" s="66" t="s">
        <v>143</v>
      </c>
      <c r="B93" s="67" t="s">
        <v>144</v>
      </c>
      <c r="C93" s="37"/>
      <c r="D93" s="95">
        <v>2212500</v>
      </c>
      <c r="E93" s="38">
        <v>0</v>
      </c>
      <c r="F93" s="38">
        <v>0</v>
      </c>
      <c r="H93" s="122"/>
    </row>
    <row r="94" spans="1:9" x14ac:dyDescent="0.2">
      <c r="A94" s="65" t="s">
        <v>143</v>
      </c>
      <c r="B94" s="54" t="s">
        <v>145</v>
      </c>
      <c r="C94" s="117">
        <v>92240000</v>
      </c>
      <c r="D94" s="117">
        <v>92240000</v>
      </c>
      <c r="E94" s="38">
        <v>0</v>
      </c>
      <c r="F94" s="38">
        <v>0</v>
      </c>
      <c r="H94" s="126">
        <v>92240000</v>
      </c>
      <c r="I94" s="95">
        <v>4750000</v>
      </c>
    </row>
    <row r="95" spans="1:9" hidden="1" x14ac:dyDescent="0.2">
      <c r="A95" s="65" t="s">
        <v>146</v>
      </c>
      <c r="B95" s="54" t="s">
        <v>147</v>
      </c>
      <c r="C95" s="37"/>
      <c r="D95" s="37"/>
      <c r="E95" s="38"/>
      <c r="F95" s="38"/>
      <c r="H95" s="122"/>
    </row>
    <row r="96" spans="1:9" hidden="1" x14ac:dyDescent="0.2">
      <c r="A96" s="65" t="s">
        <v>146</v>
      </c>
      <c r="B96" s="54" t="s">
        <v>148</v>
      </c>
      <c r="C96" s="37"/>
      <c r="D96" s="37"/>
      <c r="E96" s="38"/>
      <c r="F96" s="38"/>
      <c r="H96" s="122"/>
    </row>
    <row r="97" spans="1:9" s="6" customFormat="1" hidden="1" x14ac:dyDescent="0.2">
      <c r="A97" s="46" t="s">
        <v>204</v>
      </c>
      <c r="B97" s="102" t="s">
        <v>199</v>
      </c>
      <c r="C97" s="18">
        <f>SUM(C98:C102)</f>
        <v>0</v>
      </c>
      <c r="D97" s="18">
        <f>SUM(D98:D102)</f>
        <v>0</v>
      </c>
      <c r="E97" s="19"/>
      <c r="F97" s="19"/>
      <c r="G97" s="130"/>
      <c r="H97" s="118">
        <f>SUM(H98:H102)</f>
        <v>0</v>
      </c>
      <c r="I97" s="7">
        <f>SUM(I98:I102)</f>
        <v>0</v>
      </c>
    </row>
    <row r="98" spans="1:9" hidden="1" x14ac:dyDescent="0.2">
      <c r="A98" s="53">
        <v>7951</v>
      </c>
      <c r="B98" s="63" t="s">
        <v>200</v>
      </c>
      <c r="C98" s="37"/>
      <c r="D98" s="95"/>
      <c r="E98" s="38"/>
      <c r="F98" s="38"/>
      <c r="H98" s="122"/>
    </row>
    <row r="99" spans="1:9" hidden="1" x14ac:dyDescent="0.2">
      <c r="A99" s="53">
        <v>7952</v>
      </c>
      <c r="B99" s="63" t="s">
        <v>201</v>
      </c>
      <c r="C99" s="37"/>
      <c r="D99" s="95"/>
      <c r="E99" s="38">
        <v>0</v>
      </c>
      <c r="F99" s="38">
        <v>0</v>
      </c>
      <c r="H99" s="122"/>
    </row>
    <row r="100" spans="1:9" hidden="1" x14ac:dyDescent="0.2">
      <c r="A100" s="53">
        <v>7953</v>
      </c>
      <c r="B100" s="63" t="s">
        <v>202</v>
      </c>
      <c r="C100" s="37"/>
      <c r="D100" s="95"/>
      <c r="E100" s="38">
        <v>0</v>
      </c>
      <c r="F100" s="38">
        <v>0</v>
      </c>
      <c r="H100" s="122"/>
    </row>
    <row r="101" spans="1:9" ht="25.5" hidden="1" x14ac:dyDescent="0.2">
      <c r="A101" s="53">
        <v>7954</v>
      </c>
      <c r="B101" s="103" t="s">
        <v>203</v>
      </c>
      <c r="C101" s="37"/>
      <c r="D101" s="37"/>
      <c r="E101" s="38"/>
      <c r="F101" s="38"/>
      <c r="H101" s="122"/>
    </row>
    <row r="102" spans="1:9" s="76" customFormat="1" ht="13.5" hidden="1" x14ac:dyDescent="0.2">
      <c r="A102" s="147" t="s">
        <v>149</v>
      </c>
      <c r="B102" s="148"/>
      <c r="C102" s="71">
        <f>C103+C105</f>
        <v>0</v>
      </c>
      <c r="D102" s="72">
        <f>D103+D105</f>
        <v>0</v>
      </c>
      <c r="E102" s="73">
        <v>0</v>
      </c>
      <c r="F102" s="74">
        <v>0</v>
      </c>
      <c r="G102" s="140"/>
      <c r="H102" s="127">
        <f>H103+H105</f>
        <v>0</v>
      </c>
      <c r="I102" s="75">
        <f>I103+I105</f>
        <v>0</v>
      </c>
    </row>
    <row r="103" spans="1:9" s="6" customFormat="1" hidden="1" x14ac:dyDescent="0.2">
      <c r="A103" s="46" t="s">
        <v>150</v>
      </c>
      <c r="B103" s="47" t="s">
        <v>151</v>
      </c>
      <c r="C103" s="18">
        <f>C104</f>
        <v>0</v>
      </c>
      <c r="D103" s="18">
        <f>D104</f>
        <v>0</v>
      </c>
      <c r="E103" s="19">
        <v>0</v>
      </c>
      <c r="F103" s="19">
        <v>0</v>
      </c>
      <c r="G103" s="130"/>
      <c r="H103" s="118">
        <f>H104</f>
        <v>0</v>
      </c>
      <c r="I103" s="7">
        <f>I104</f>
        <v>0</v>
      </c>
    </row>
    <row r="104" spans="1:9" hidden="1" x14ac:dyDescent="0.2">
      <c r="A104" s="34" t="s">
        <v>152</v>
      </c>
      <c r="B104" s="35" t="s">
        <v>153</v>
      </c>
      <c r="C104" s="37"/>
      <c r="D104" s="37">
        <v>0</v>
      </c>
      <c r="E104" s="38">
        <v>0</v>
      </c>
      <c r="F104" s="38">
        <v>0</v>
      </c>
      <c r="H104" s="122"/>
    </row>
    <row r="105" spans="1:9" s="6" customFormat="1" hidden="1" x14ac:dyDescent="0.2">
      <c r="A105" s="46" t="s">
        <v>154</v>
      </c>
      <c r="B105" s="47" t="s">
        <v>155</v>
      </c>
      <c r="C105" s="18">
        <f>C106</f>
        <v>0</v>
      </c>
      <c r="D105" s="18">
        <f>D106</f>
        <v>0</v>
      </c>
      <c r="E105" s="19">
        <v>0</v>
      </c>
      <c r="F105" s="19">
        <v>0</v>
      </c>
      <c r="G105" s="130"/>
      <c r="H105" s="118">
        <f>H106</f>
        <v>0</v>
      </c>
      <c r="I105" s="7">
        <f>I106</f>
        <v>0</v>
      </c>
    </row>
    <row r="106" spans="1:9" hidden="1" x14ac:dyDescent="0.2">
      <c r="A106" s="34" t="s">
        <v>156</v>
      </c>
      <c r="B106" s="35" t="s">
        <v>157</v>
      </c>
      <c r="C106" s="37"/>
      <c r="D106" s="37">
        <v>0</v>
      </c>
      <c r="E106" s="38">
        <v>0</v>
      </c>
      <c r="F106" s="38">
        <v>0</v>
      </c>
      <c r="H106" s="122"/>
    </row>
    <row r="107" spans="1:9" s="25" customFormat="1" x14ac:dyDescent="0.2">
      <c r="A107" s="77" t="s">
        <v>158</v>
      </c>
      <c r="B107" s="78"/>
      <c r="C107" s="22">
        <f>C108+C121+C131+C142</f>
        <v>123832491</v>
      </c>
      <c r="D107" s="22">
        <f>D108+D121+D131+D142</f>
        <v>99022590</v>
      </c>
      <c r="E107" s="23">
        <f t="shared" si="11"/>
        <v>0.79964950394157863</v>
      </c>
      <c r="F107" s="38">
        <f t="shared" si="12"/>
        <v>0.66955582872023101</v>
      </c>
      <c r="G107" s="131"/>
      <c r="H107" s="119">
        <f>H108+H121+H131+H142</f>
        <v>125782491</v>
      </c>
      <c r="I107" s="24">
        <f>I108+I121+I131</f>
        <v>84218400</v>
      </c>
    </row>
    <row r="108" spans="1:9" s="31" customFormat="1" ht="13.5" x14ac:dyDescent="0.25">
      <c r="A108" s="26" t="s">
        <v>15</v>
      </c>
      <c r="B108" s="69"/>
      <c r="C108" s="50">
        <f>C109+C112+C114</f>
        <v>33832491</v>
      </c>
      <c r="D108" s="50">
        <f>D109+D112+D114</f>
        <v>21022590</v>
      </c>
      <c r="E108" s="51">
        <f t="shared" si="11"/>
        <v>0.62137280994178057</v>
      </c>
      <c r="F108" s="52">
        <f t="shared" si="12"/>
        <v>0.6768226393182073</v>
      </c>
      <c r="G108" s="138"/>
      <c r="H108" s="124">
        <f>H109+H112+H114</f>
        <v>35782491</v>
      </c>
      <c r="I108" s="30">
        <f>I109+I114</f>
        <v>24218400</v>
      </c>
    </row>
    <row r="109" spans="1:9" s="6" customFormat="1" x14ac:dyDescent="0.2">
      <c r="A109" s="32" t="s">
        <v>16</v>
      </c>
      <c r="B109" s="33" t="s">
        <v>17</v>
      </c>
      <c r="C109" s="18">
        <f>SUM(C111)</f>
        <v>13010061</v>
      </c>
      <c r="D109" s="18">
        <f>SUM(D110:D111)</f>
        <v>0</v>
      </c>
      <c r="E109" s="19">
        <v>0</v>
      </c>
      <c r="F109" s="19">
        <v>0</v>
      </c>
      <c r="G109" s="130"/>
      <c r="H109" s="118">
        <f>SUM(H111)</f>
        <v>13010061</v>
      </c>
      <c r="I109" s="7">
        <f>I111</f>
        <v>0</v>
      </c>
    </row>
    <row r="110" spans="1:9" s="6" customFormat="1" x14ac:dyDescent="0.2">
      <c r="A110" s="70">
        <v>6105</v>
      </c>
      <c r="B110" s="63" t="s">
        <v>205</v>
      </c>
      <c r="C110" s="115">
        <v>120000000</v>
      </c>
      <c r="D110" s="104"/>
      <c r="E110" s="38">
        <v>0</v>
      </c>
      <c r="F110" s="38">
        <v>0</v>
      </c>
      <c r="G110" s="131"/>
      <c r="H110" s="121">
        <v>120000000</v>
      </c>
      <c r="I110" s="7"/>
    </row>
    <row r="111" spans="1:9" x14ac:dyDescent="0.2">
      <c r="A111" s="70">
        <v>6149</v>
      </c>
      <c r="B111" s="63" t="s">
        <v>206</v>
      </c>
      <c r="C111" s="115">
        <v>13010061</v>
      </c>
      <c r="D111" s="104"/>
      <c r="E111" s="38">
        <v>0</v>
      </c>
      <c r="F111" s="38">
        <v>0</v>
      </c>
      <c r="H111" s="121">
        <v>13010061</v>
      </c>
    </row>
    <row r="112" spans="1:9" hidden="1" x14ac:dyDescent="0.2">
      <c r="A112" s="32" t="s">
        <v>26</v>
      </c>
      <c r="B112" s="33" t="s">
        <v>27</v>
      </c>
      <c r="C112" s="37">
        <f>C113</f>
        <v>0</v>
      </c>
      <c r="D112" s="37">
        <f>D113</f>
        <v>0</v>
      </c>
      <c r="E112" s="19">
        <v>0</v>
      </c>
      <c r="F112" s="19">
        <v>0</v>
      </c>
      <c r="G112" s="130"/>
      <c r="H112" s="122">
        <f>H113</f>
        <v>0</v>
      </c>
      <c r="I112" s="1">
        <f>I113</f>
        <v>0</v>
      </c>
    </row>
    <row r="113" spans="1:11" hidden="1" x14ac:dyDescent="0.2">
      <c r="A113" s="79" t="s">
        <v>159</v>
      </c>
      <c r="B113" s="80" t="s">
        <v>160</v>
      </c>
      <c r="C113" s="37">
        <v>0</v>
      </c>
      <c r="D113" s="37"/>
      <c r="E113" s="38">
        <v>0</v>
      </c>
      <c r="F113" s="38">
        <v>0</v>
      </c>
      <c r="H113" s="122">
        <v>0</v>
      </c>
    </row>
    <row r="114" spans="1:11" s="6" customFormat="1" x14ac:dyDescent="0.2">
      <c r="A114" s="32" t="s">
        <v>58</v>
      </c>
      <c r="B114" s="33" t="s">
        <v>59</v>
      </c>
      <c r="C114" s="18">
        <f>SUM(C115:C120)</f>
        <v>20822430</v>
      </c>
      <c r="D114" s="18">
        <f>SUM(D115:D120)</f>
        <v>21022590</v>
      </c>
      <c r="E114" s="38">
        <f t="shared" si="11"/>
        <v>1.009612710908381</v>
      </c>
      <c r="F114" s="19">
        <f t="shared" si="12"/>
        <v>1.06349651749945</v>
      </c>
      <c r="G114" s="130"/>
      <c r="H114" s="118">
        <f>SUM(H115:H120)</f>
        <v>22772430</v>
      </c>
      <c r="I114" s="7">
        <f>SUM(I115:I120)</f>
        <v>24218400</v>
      </c>
    </row>
    <row r="115" spans="1:11" x14ac:dyDescent="0.2">
      <c r="A115" s="56" t="s">
        <v>161</v>
      </c>
      <c r="B115" s="64" t="s">
        <v>162</v>
      </c>
      <c r="C115" s="37"/>
      <c r="D115" s="37"/>
      <c r="E115" s="38"/>
      <c r="F115" s="38"/>
      <c r="H115" s="122"/>
    </row>
    <row r="116" spans="1:11" x14ac:dyDescent="0.2">
      <c r="A116" s="56" t="s">
        <v>161</v>
      </c>
      <c r="B116" s="64" t="s">
        <v>210</v>
      </c>
      <c r="C116" s="37"/>
      <c r="D116" s="37"/>
      <c r="E116" s="38"/>
      <c r="F116" s="38">
        <f t="shared" si="12"/>
        <v>1</v>
      </c>
      <c r="H116" s="1">
        <f>0.5*3*1300000</f>
        <v>1950000</v>
      </c>
      <c r="I116" s="1">
        <f>0.5*3*1300000</f>
        <v>1950000</v>
      </c>
    </row>
    <row r="117" spans="1:11" x14ac:dyDescent="0.2">
      <c r="A117" s="56" t="s">
        <v>161</v>
      </c>
      <c r="B117" s="64" t="s">
        <v>163</v>
      </c>
      <c r="C117" s="115">
        <f>1800000*3</f>
        <v>5400000</v>
      </c>
      <c r="D117" s="37">
        <f>3*600000*3</f>
        <v>5400000</v>
      </c>
      <c r="E117" s="38">
        <f t="shared" si="11"/>
        <v>1</v>
      </c>
      <c r="F117" s="38">
        <f t="shared" si="12"/>
        <v>1</v>
      </c>
      <c r="H117" s="121">
        <f>1800000*3</f>
        <v>5400000</v>
      </c>
      <c r="I117" s="121">
        <f>1800000*3</f>
        <v>5400000</v>
      </c>
      <c r="K117" s="104"/>
    </row>
    <row r="118" spans="1:11" x14ac:dyDescent="0.2">
      <c r="A118" s="56" t="s">
        <v>161</v>
      </c>
      <c r="B118" s="64" t="s">
        <v>164</v>
      </c>
      <c r="C118" s="115">
        <f>(2.41*2+3.96+0.15)*3*1390000*30%</f>
        <v>11171430.000000002</v>
      </c>
      <c r="D118" s="37">
        <f>(4.27+2.41+2.41)*0.3*3*1390000</f>
        <v>11371589.999999998</v>
      </c>
      <c r="E118" s="38">
        <f t="shared" si="11"/>
        <v>1.0179171332586783</v>
      </c>
      <c r="F118" s="38">
        <f t="shared" si="12"/>
        <v>1.1366852766387112</v>
      </c>
      <c r="H118" s="121">
        <f>(2.41*2+3.96+0.15)*3*1390000*30%</f>
        <v>11171430.000000002</v>
      </c>
      <c r="I118" s="121">
        <f>(2.1*3+0.31*2+3.96)*3*1300000*30%-31200</f>
        <v>12698400</v>
      </c>
    </row>
    <row r="119" spans="1:11" x14ac:dyDescent="0.2">
      <c r="A119" s="56" t="s">
        <v>161</v>
      </c>
      <c r="B119" s="64" t="s">
        <v>165</v>
      </c>
      <c r="C119" s="115">
        <v>3000000</v>
      </c>
      <c r="D119" s="37">
        <f>2*3*500000</f>
        <v>3000000</v>
      </c>
      <c r="E119" s="38">
        <f t="shared" si="11"/>
        <v>1</v>
      </c>
      <c r="F119" s="38">
        <f t="shared" si="12"/>
        <v>1</v>
      </c>
      <c r="H119" s="121">
        <v>3000000</v>
      </c>
      <c r="I119" s="121">
        <v>3000000</v>
      </c>
    </row>
    <row r="120" spans="1:11" x14ac:dyDescent="0.2">
      <c r="A120" s="53">
        <v>6449</v>
      </c>
      <c r="B120" s="70" t="s">
        <v>166</v>
      </c>
      <c r="C120" s="115">
        <f>0.3*1390000*3</f>
        <v>1251000</v>
      </c>
      <c r="D120" s="37">
        <f>0.3*3*1390000</f>
        <v>1250999.9999999998</v>
      </c>
      <c r="E120" s="38">
        <f t="shared" si="11"/>
        <v>0.99999999999999978</v>
      </c>
      <c r="F120" s="38">
        <f t="shared" si="12"/>
        <v>0.93525179856115104</v>
      </c>
      <c r="H120" s="121">
        <f>0.3*1390000*3</f>
        <v>1251000</v>
      </c>
      <c r="I120" s="121">
        <f>0.3*1300000*3</f>
        <v>1170000</v>
      </c>
    </row>
    <row r="121" spans="1:11" s="31" customFormat="1" ht="13.5" x14ac:dyDescent="0.25">
      <c r="A121" s="48" t="s">
        <v>62</v>
      </c>
      <c r="B121" s="69"/>
      <c r="C121" s="50">
        <f>C122+C128</f>
        <v>10000000</v>
      </c>
      <c r="D121" s="50">
        <f>D122+D125+D128</f>
        <v>0</v>
      </c>
      <c r="E121" s="51">
        <f t="shared" si="11"/>
        <v>0</v>
      </c>
      <c r="F121" s="51">
        <f t="shared" si="12"/>
        <v>0</v>
      </c>
      <c r="G121" s="141"/>
      <c r="H121" s="124">
        <f>H122+H128</f>
        <v>10000000</v>
      </c>
      <c r="I121" s="30">
        <f>I122+I125+I128</f>
        <v>0</v>
      </c>
    </row>
    <row r="122" spans="1:11" s="6" customFormat="1" x14ac:dyDescent="0.2">
      <c r="A122" s="32" t="s">
        <v>106</v>
      </c>
      <c r="B122" s="81" t="s">
        <v>107</v>
      </c>
      <c r="C122" s="18">
        <f>SUM(C123:C124)</f>
        <v>10000000</v>
      </c>
      <c r="D122" s="18">
        <f>SUM(D123:D124)</f>
        <v>0</v>
      </c>
      <c r="E122" s="19">
        <f t="shared" si="11"/>
        <v>0</v>
      </c>
      <c r="F122" s="19">
        <f t="shared" si="12"/>
        <v>0</v>
      </c>
      <c r="G122" s="130"/>
      <c r="H122" s="118">
        <f>SUM(H123:H124)</f>
        <v>10000000</v>
      </c>
      <c r="I122" s="7">
        <f>I123</f>
        <v>0</v>
      </c>
    </row>
    <row r="123" spans="1:11" ht="15.75" x14ac:dyDescent="0.25">
      <c r="A123" s="34" t="s">
        <v>167</v>
      </c>
      <c r="B123" s="35" t="s">
        <v>168</v>
      </c>
      <c r="C123" s="115">
        <v>10000000</v>
      </c>
      <c r="D123" s="97"/>
      <c r="E123" s="38"/>
      <c r="F123" s="38"/>
      <c r="H123" s="121">
        <v>10000000</v>
      </c>
    </row>
    <row r="124" spans="1:11" hidden="1" x14ac:dyDescent="0.2">
      <c r="A124" s="34" t="s">
        <v>167</v>
      </c>
      <c r="B124" s="35" t="s">
        <v>169</v>
      </c>
      <c r="C124" s="37"/>
      <c r="D124" s="37"/>
      <c r="E124" s="38"/>
      <c r="F124" s="38"/>
      <c r="H124" s="122"/>
    </row>
    <row r="125" spans="1:11" s="6" customFormat="1" hidden="1" x14ac:dyDescent="0.2">
      <c r="A125" s="46" t="s">
        <v>170</v>
      </c>
      <c r="B125" s="47" t="s">
        <v>171</v>
      </c>
      <c r="C125" s="18"/>
      <c r="D125" s="18">
        <f>D126+D127</f>
        <v>0</v>
      </c>
      <c r="E125" s="19"/>
      <c r="F125" s="19"/>
      <c r="G125" s="130"/>
      <c r="H125" s="118"/>
      <c r="I125" s="7">
        <f>I127</f>
        <v>0</v>
      </c>
    </row>
    <row r="126" spans="1:11" hidden="1" x14ac:dyDescent="0.2">
      <c r="A126" s="56" t="s">
        <v>116</v>
      </c>
      <c r="B126" s="57" t="s">
        <v>117</v>
      </c>
      <c r="C126" s="37"/>
      <c r="D126" s="105"/>
      <c r="E126" s="38"/>
      <c r="F126" s="38"/>
      <c r="H126" s="122"/>
    </row>
    <row r="127" spans="1:11" hidden="1" x14ac:dyDescent="0.2">
      <c r="A127" s="34" t="s">
        <v>172</v>
      </c>
      <c r="B127" s="35" t="s">
        <v>173</v>
      </c>
      <c r="C127" s="37"/>
      <c r="D127" s="37"/>
      <c r="E127" s="38"/>
      <c r="F127" s="38"/>
      <c r="H127" s="122"/>
    </row>
    <row r="128" spans="1:11" s="6" customFormat="1" hidden="1" x14ac:dyDescent="0.2">
      <c r="A128" s="32" t="s">
        <v>125</v>
      </c>
      <c r="B128" s="81" t="s">
        <v>126</v>
      </c>
      <c r="C128" s="18">
        <f>SUM(C129:C130)</f>
        <v>0</v>
      </c>
      <c r="D128" s="18">
        <f>SUM(D129:D130)</f>
        <v>0</v>
      </c>
      <c r="E128" s="19"/>
      <c r="F128" s="19"/>
      <c r="G128" s="130"/>
      <c r="H128" s="118">
        <f>SUM(H129:H130)</f>
        <v>0</v>
      </c>
      <c r="I128" s="7">
        <f>SUM(I129:I130)</f>
        <v>0</v>
      </c>
    </row>
    <row r="129" spans="1:9" hidden="1" x14ac:dyDescent="0.2">
      <c r="A129" s="79" t="s">
        <v>129</v>
      </c>
      <c r="B129" s="80" t="s">
        <v>174</v>
      </c>
      <c r="C129" s="37"/>
      <c r="D129" s="104"/>
      <c r="E129" s="38"/>
      <c r="F129" s="38"/>
      <c r="H129" s="122"/>
    </row>
    <row r="130" spans="1:9" hidden="1" x14ac:dyDescent="0.2">
      <c r="A130" s="34" t="s">
        <v>133</v>
      </c>
      <c r="B130" s="35" t="s">
        <v>175</v>
      </c>
      <c r="C130" s="37"/>
      <c r="D130" s="37">
        <v>0</v>
      </c>
      <c r="E130" s="38"/>
      <c r="F130" s="38"/>
      <c r="H130" s="122"/>
    </row>
    <row r="131" spans="1:9" s="31" customFormat="1" ht="13.5" x14ac:dyDescent="0.25">
      <c r="A131" s="68" t="s">
        <v>139</v>
      </c>
      <c r="B131" s="82"/>
      <c r="C131" s="28">
        <f>C132</f>
        <v>80000000</v>
      </c>
      <c r="D131" s="28">
        <f>D132</f>
        <v>78000000</v>
      </c>
      <c r="E131" s="29">
        <f t="shared" si="11"/>
        <v>0.97499999999999998</v>
      </c>
      <c r="F131" s="29">
        <f t="shared" si="12"/>
        <v>0.75</v>
      </c>
      <c r="G131" s="137"/>
      <c r="H131" s="120">
        <f>H132</f>
        <v>80000000</v>
      </c>
      <c r="I131" s="30">
        <f>I132+I140</f>
        <v>60000000</v>
      </c>
    </row>
    <row r="132" spans="1:9" s="6" customFormat="1" x14ac:dyDescent="0.2">
      <c r="A132" s="32" t="s">
        <v>176</v>
      </c>
      <c r="B132" s="33" t="s">
        <v>177</v>
      </c>
      <c r="C132" s="18">
        <f>SUM(C133:C139)</f>
        <v>80000000</v>
      </c>
      <c r="D132" s="18">
        <f>SUM(D133:D139)</f>
        <v>78000000</v>
      </c>
      <c r="E132" s="19">
        <f t="shared" si="11"/>
        <v>0.97499999999999998</v>
      </c>
      <c r="F132" s="19">
        <f t="shared" si="12"/>
        <v>0.75</v>
      </c>
      <c r="G132" s="130"/>
      <c r="H132" s="118">
        <f>SUM(H133:H139)</f>
        <v>80000000</v>
      </c>
      <c r="I132" s="7">
        <f>SUM(I133:I139)</f>
        <v>60000000</v>
      </c>
    </row>
    <row r="133" spans="1:9" hidden="1" x14ac:dyDescent="0.2">
      <c r="A133" s="79" t="s">
        <v>143</v>
      </c>
      <c r="B133" s="80" t="s">
        <v>177</v>
      </c>
      <c r="C133" s="37">
        <v>0</v>
      </c>
      <c r="D133" s="37"/>
      <c r="E133" s="37"/>
      <c r="F133" s="38"/>
      <c r="H133" s="122">
        <v>0</v>
      </c>
    </row>
    <row r="134" spans="1:9" x14ac:dyDescent="0.2">
      <c r="A134" s="34" t="s">
        <v>143</v>
      </c>
      <c r="B134" s="35" t="s">
        <v>178</v>
      </c>
      <c r="C134" s="115">
        <v>80000000</v>
      </c>
      <c r="D134" s="37">
        <v>78000000</v>
      </c>
      <c r="E134" s="38"/>
      <c r="F134" s="38"/>
      <c r="H134" s="121">
        <v>80000000</v>
      </c>
      <c r="I134" s="104">
        <v>60000000</v>
      </c>
    </row>
    <row r="135" spans="1:9" hidden="1" x14ac:dyDescent="0.2">
      <c r="A135" s="79" t="s">
        <v>143</v>
      </c>
      <c r="B135" s="80" t="s">
        <v>179</v>
      </c>
      <c r="C135" s="37"/>
      <c r="D135" s="37"/>
      <c r="E135" s="38"/>
      <c r="F135" s="38"/>
      <c r="H135" s="122"/>
    </row>
    <row r="136" spans="1:9" hidden="1" x14ac:dyDescent="0.2">
      <c r="A136" s="79" t="s">
        <v>143</v>
      </c>
      <c r="B136" s="80" t="s">
        <v>180</v>
      </c>
      <c r="C136" s="37"/>
      <c r="D136" s="37"/>
      <c r="E136" s="38"/>
      <c r="F136" s="38"/>
      <c r="H136" s="122"/>
    </row>
    <row r="137" spans="1:9" hidden="1" x14ac:dyDescent="0.2">
      <c r="A137" s="34" t="s">
        <v>143</v>
      </c>
      <c r="B137" s="35" t="s">
        <v>181</v>
      </c>
      <c r="C137" s="37"/>
      <c r="D137" s="37"/>
      <c r="E137" s="38"/>
      <c r="F137" s="38"/>
      <c r="H137" s="122"/>
    </row>
    <row r="138" spans="1:9" hidden="1" x14ac:dyDescent="0.2">
      <c r="A138" s="34" t="s">
        <v>143</v>
      </c>
      <c r="B138" s="35" t="s">
        <v>182</v>
      </c>
      <c r="C138" s="37"/>
      <c r="D138" s="37"/>
      <c r="E138" s="38"/>
      <c r="F138" s="38"/>
      <c r="H138" s="122"/>
    </row>
    <row r="139" spans="1:9" hidden="1" x14ac:dyDescent="0.2">
      <c r="A139" s="34" t="s">
        <v>183</v>
      </c>
      <c r="B139" s="35" t="s">
        <v>184</v>
      </c>
      <c r="C139" s="37"/>
      <c r="D139" s="37"/>
      <c r="E139" s="38"/>
      <c r="F139" s="38"/>
      <c r="H139" s="122"/>
    </row>
    <row r="140" spans="1:9" s="6" customFormat="1" hidden="1" x14ac:dyDescent="0.2">
      <c r="A140" s="46" t="s">
        <v>150</v>
      </c>
      <c r="B140" s="47" t="s">
        <v>185</v>
      </c>
      <c r="C140" s="18"/>
      <c r="D140" s="18"/>
      <c r="E140" s="19"/>
      <c r="F140" s="19"/>
      <c r="G140" s="130"/>
      <c r="H140" s="118"/>
      <c r="I140" s="7">
        <f>I141</f>
        <v>0</v>
      </c>
    </row>
    <row r="141" spans="1:9" hidden="1" x14ac:dyDescent="0.2">
      <c r="A141" s="34" t="s">
        <v>186</v>
      </c>
      <c r="B141" s="35" t="s">
        <v>187</v>
      </c>
      <c r="C141" s="37"/>
      <c r="D141" s="37"/>
      <c r="E141" s="38"/>
      <c r="F141" s="38"/>
      <c r="H141" s="122"/>
    </row>
    <row r="142" spans="1:9" s="25" customFormat="1" hidden="1" x14ac:dyDescent="0.2">
      <c r="A142" s="77" t="s">
        <v>188</v>
      </c>
      <c r="B142" s="78"/>
      <c r="C142" s="22">
        <f>SUM(C143:C146)</f>
        <v>0</v>
      </c>
      <c r="D142" s="22">
        <f>SUM(D143:D146)</f>
        <v>0</v>
      </c>
      <c r="E142" s="23">
        <v>0</v>
      </c>
      <c r="F142" s="19">
        <v>0</v>
      </c>
      <c r="G142" s="130"/>
      <c r="H142" s="119">
        <f>SUM(H143:H146)</f>
        <v>0</v>
      </c>
      <c r="I142" s="24">
        <f>I143</f>
        <v>0</v>
      </c>
    </row>
    <row r="143" spans="1:9" hidden="1" x14ac:dyDescent="0.2">
      <c r="A143" s="53">
        <v>7001</v>
      </c>
      <c r="B143" s="70" t="s">
        <v>189</v>
      </c>
      <c r="C143" s="37"/>
      <c r="D143" s="37"/>
      <c r="E143" s="38">
        <v>0</v>
      </c>
      <c r="F143" s="38">
        <v>0</v>
      </c>
      <c r="H143" s="122"/>
    </row>
    <row r="144" spans="1:9" hidden="1" x14ac:dyDescent="0.2">
      <c r="A144" s="53">
        <v>6956</v>
      </c>
      <c r="B144" s="70" t="s">
        <v>190</v>
      </c>
      <c r="C144" s="37"/>
      <c r="D144" s="95"/>
      <c r="E144" s="38">
        <v>0</v>
      </c>
      <c r="F144" s="38">
        <v>0</v>
      </c>
      <c r="H144" s="122"/>
    </row>
    <row r="145" spans="1:9" hidden="1" x14ac:dyDescent="0.2">
      <c r="A145" s="53">
        <v>6956</v>
      </c>
      <c r="B145" s="70" t="s">
        <v>191</v>
      </c>
      <c r="C145" s="37"/>
      <c r="D145" s="37"/>
      <c r="E145" s="38"/>
      <c r="F145" s="38"/>
      <c r="H145" s="122"/>
    </row>
    <row r="146" spans="1:9" hidden="1" x14ac:dyDescent="0.2">
      <c r="A146" s="53">
        <v>6552</v>
      </c>
      <c r="B146" s="54" t="s">
        <v>207</v>
      </c>
      <c r="C146" s="37"/>
      <c r="D146" s="37"/>
      <c r="E146" s="38"/>
      <c r="F146" s="38"/>
      <c r="H146" s="122"/>
    </row>
    <row r="147" spans="1:9" x14ac:dyDescent="0.2">
      <c r="A147" s="83"/>
      <c r="B147" s="84"/>
    </row>
    <row r="148" spans="1:9" s="85" customFormat="1" x14ac:dyDescent="0.2">
      <c r="C148" s="149" t="s">
        <v>198</v>
      </c>
      <c r="D148" s="149"/>
      <c r="E148" s="149"/>
      <c r="F148" s="149"/>
      <c r="G148" s="142"/>
      <c r="H148" s="86"/>
      <c r="I148" s="86"/>
    </row>
    <row r="149" spans="1:9" x14ac:dyDescent="0.2">
      <c r="C149" s="150" t="s">
        <v>192</v>
      </c>
      <c r="D149" s="150"/>
      <c r="E149" s="150"/>
      <c r="F149" s="150"/>
      <c r="G149" s="143"/>
    </row>
    <row r="150" spans="1:9" x14ac:dyDescent="0.2">
      <c r="C150" s="7"/>
      <c r="D150" s="7"/>
      <c r="E150" s="8"/>
      <c r="F150" s="8"/>
      <c r="G150" s="130"/>
      <c r="H150" s="7"/>
    </row>
    <row r="151" spans="1:9" x14ac:dyDescent="0.2">
      <c r="C151" s="7"/>
      <c r="D151" s="7"/>
      <c r="E151" s="8"/>
      <c r="F151" s="8"/>
      <c r="G151" s="130"/>
      <c r="H151" s="7"/>
    </row>
    <row r="152" spans="1:9" x14ac:dyDescent="0.2">
      <c r="C152" s="7"/>
      <c r="D152" s="7"/>
      <c r="E152" s="8"/>
      <c r="F152" s="8"/>
      <c r="G152" s="130"/>
      <c r="H152" s="7"/>
    </row>
    <row r="153" spans="1:9" x14ac:dyDescent="0.2">
      <c r="C153" s="150"/>
      <c r="D153" s="150"/>
      <c r="E153" s="150"/>
      <c r="F153" s="150"/>
      <c r="G153" s="143"/>
    </row>
    <row r="154" spans="1:9" x14ac:dyDescent="0.2">
      <c r="C154" s="150"/>
      <c r="D154" s="150"/>
      <c r="E154" s="150"/>
      <c r="F154" s="150"/>
      <c r="G154" s="143"/>
    </row>
  </sheetData>
  <mergeCells count="13">
    <mergeCell ref="A1:F1"/>
    <mergeCell ref="A6:F6"/>
    <mergeCell ref="A7:F7"/>
    <mergeCell ref="A9:A11"/>
    <mergeCell ref="B9:B11"/>
    <mergeCell ref="C9:C11"/>
    <mergeCell ref="D9:D11"/>
    <mergeCell ref="E9:F10"/>
    <mergeCell ref="H9:H11"/>
    <mergeCell ref="A102:B102"/>
    <mergeCell ref="C148:F148"/>
    <mergeCell ref="C149:F149"/>
    <mergeCell ref="C153:F1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4 2018</vt:lpstr>
      <vt:lpstr>1 2019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MyPC</cp:lastModifiedBy>
  <dcterms:created xsi:type="dcterms:W3CDTF">2018-09-14T08:54:01Z</dcterms:created>
  <dcterms:modified xsi:type="dcterms:W3CDTF">2019-06-12T01:52:49Z</dcterms:modified>
</cp:coreProperties>
</file>